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1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2023'!$B$6:$Z$347</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32" i="10" l="1"/>
  <c r="R331" i="10"/>
  <c r="R335" i="10"/>
  <c r="K346" i="10"/>
  <c r="K323"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316" i="10"/>
  <c r="R235" i="10"/>
  <c r="R241" i="10"/>
  <c r="R240" i="10"/>
  <c r="R270" i="10"/>
  <c r="R133" i="10"/>
  <c r="R121" i="10"/>
  <c r="W308" i="10"/>
  <c r="Y224" i="10"/>
  <c r="W224" i="10"/>
  <c r="Z232" i="10"/>
  <c r="Z143" i="10"/>
  <c r="Z128" i="10"/>
  <c r="Y122" i="10"/>
  <c r="Z144" i="10"/>
  <c r="W114" i="10"/>
  <c r="Z107" i="10"/>
  <c r="W49" i="10"/>
  <c r="R264" i="10" l="1"/>
  <c r="R312" i="10"/>
  <c r="R313" i="10"/>
  <c r="R114" i="10" l="1"/>
  <c r="Z125" i="10"/>
  <c r="R126" i="10"/>
  <c r="R137" i="10"/>
  <c r="R131" i="10"/>
  <c r="R41" i="10" l="1"/>
  <c r="R189" i="10"/>
  <c r="R187" i="10"/>
  <c r="R13" i="10"/>
  <c r="R139" i="10"/>
  <c r="R129" i="10" l="1"/>
  <c r="R233" i="10" l="1"/>
  <c r="R238" i="10"/>
  <c r="R224" i="10"/>
  <c r="Z337" i="10" l="1"/>
  <c r="W325" i="10"/>
  <c r="R325" i="10"/>
  <c r="Z311" i="10" l="1"/>
  <c r="Z312" i="10"/>
  <c r="Z240" i="10"/>
  <c r="Z239" i="10"/>
  <c r="Z217" i="10"/>
  <c r="Z215" i="10"/>
  <c r="Z183" i="10"/>
  <c r="W177" i="10"/>
  <c r="W152" i="10"/>
  <c r="W39" i="10" l="1"/>
  <c r="R336" i="10" l="1"/>
  <c r="R177" i="10" l="1"/>
  <c r="R123" i="10"/>
  <c r="R228" i="10" l="1"/>
  <c r="R227" i="10"/>
  <c r="R254" i="10"/>
  <c r="R229" i="10"/>
  <c r="R207" i="10"/>
  <c r="R215" i="10"/>
  <c r="R39" i="10"/>
  <c r="R42" i="10"/>
  <c r="R89" i="10"/>
  <c r="R64" i="10"/>
  <c r="R286" i="10" l="1"/>
  <c r="R291" i="10"/>
  <c r="R184" i="10"/>
  <c r="R24" i="10"/>
  <c r="R18" i="10"/>
  <c r="R101" i="10"/>
  <c r="R157" i="10" l="1"/>
  <c r="Y267" i="10" l="1"/>
  <c r="Z172" i="10"/>
  <c r="Z114" i="10"/>
  <c r="R81" i="10"/>
  <c r="R77" i="10"/>
  <c r="R122" i="10" l="1"/>
  <c r="R82" i="10" l="1"/>
  <c r="R84" i="10"/>
  <c r="R134" i="10" l="1"/>
  <c r="R76" i="10"/>
  <c r="R130" i="10"/>
  <c r="R135" i="10"/>
  <c r="R136" i="10"/>
  <c r="R140" i="10"/>
  <c r="I16" i="13" l="1"/>
  <c r="R322" i="10"/>
  <c r="R305" i="10"/>
  <c r="T305" i="10" s="1"/>
  <c r="R152" i="10" l="1"/>
  <c r="R153" i="10"/>
  <c r="R281" i="10" l="1"/>
  <c r="Z281" i="10" l="1"/>
  <c r="R216" i="10"/>
  <c r="Z148" i="10" l="1"/>
  <c r="R107" i="10" l="1"/>
  <c r="R214" i="10" l="1"/>
  <c r="R213" i="10" s="1"/>
  <c r="R268" i="10" l="1"/>
  <c r="R273" i="10" l="1"/>
  <c r="R271" i="10"/>
  <c r="R226" i="10"/>
  <c r="R172" i="10" l="1"/>
  <c r="R165" i="10" s="1"/>
  <c r="R87" i="10"/>
  <c r="R145" i="10"/>
  <c r="R118" i="10" l="1"/>
  <c r="Z320" i="10" l="1"/>
  <c r="Z347" i="10" l="1"/>
  <c r="Z346" i="10"/>
  <c r="Z341" i="10"/>
  <c r="Z340" i="10"/>
  <c r="Z339" i="10"/>
  <c r="Z338" i="10"/>
  <c r="Z335" i="10"/>
  <c r="Z334" i="10"/>
  <c r="Z332" i="10"/>
  <c r="Z330" i="10"/>
  <c r="Z329" i="10"/>
  <c r="Z328" i="10"/>
  <c r="Z327" i="10"/>
  <c r="Z326" i="10"/>
  <c r="Z325" i="10"/>
  <c r="Z324" i="10"/>
  <c r="Z323" i="10"/>
  <c r="Z319" i="10"/>
  <c r="Z318" i="10"/>
  <c r="Z317" i="10"/>
  <c r="Z316"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53" i="10"/>
  <c r="Z152" i="10"/>
  <c r="Z150" i="10"/>
  <c r="Z149" i="10"/>
  <c r="Z145" i="10"/>
  <c r="Z141" i="10"/>
  <c r="Z140" i="10"/>
  <c r="Z139" i="10"/>
  <c r="Z137" i="10"/>
  <c r="Z136" i="10"/>
  <c r="Z135" i="10"/>
  <c r="Z134" i="10"/>
  <c r="Z133" i="10"/>
  <c r="Z132" i="10"/>
  <c r="Z131" i="10"/>
  <c r="Z130" i="10"/>
  <c r="Z126" i="10"/>
  <c r="Z124" i="10"/>
  <c r="Z123" i="10"/>
  <c r="Z122" i="10"/>
  <c r="Z121" i="10"/>
  <c r="Z120" i="10"/>
  <c r="Z119" i="10"/>
  <c r="Z115" i="10"/>
  <c r="Z113" i="10"/>
  <c r="Z109" i="10"/>
  <c r="Z101"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1" i="10" l="1"/>
  <c r="Z42" i="10" l="1"/>
  <c r="R14" i="10"/>
  <c r="Z14" i="10" s="1"/>
  <c r="Z13" i="10" l="1"/>
  <c r="R267" i="10" l="1"/>
  <c r="Z267" i="10" s="1"/>
  <c r="R142" i="10" l="1"/>
  <c r="Z142" i="10" l="1"/>
  <c r="Z270" i="10"/>
  <c r="R274" i="10"/>
  <c r="Z274" i="10" s="1"/>
  <c r="Z238" i="10" l="1"/>
  <c r="R272" i="10" l="1"/>
  <c r="Z272" i="10" s="1"/>
  <c r="Z228" i="10"/>
  <c r="R333" i="10" l="1"/>
  <c r="Z333" i="10" s="1"/>
  <c r="Z336" i="10"/>
  <c r="R79" i="10" l="1"/>
  <c r="Z184" i="10"/>
  <c r="R112" i="10"/>
  <c r="R266" i="10" l="1"/>
  <c r="R345" i="10"/>
  <c r="R344" i="10" s="1"/>
  <c r="R304" i="10" l="1"/>
  <c r="R343" i="10"/>
  <c r="R12" i="10"/>
  <c r="R342"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1" i="10"/>
  <c r="T321"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charset val="1"/>
          </rPr>
          <t xml:space="preserve"> </t>
        </r>
        <r>
          <rPr>
            <sz val="9"/>
            <color indexed="81"/>
            <rFont val="Tahoma"/>
            <family val="2"/>
          </rPr>
          <t xml:space="preserve">$ 1.042.359,67
</t>
        </r>
        <r>
          <rPr>
            <b/>
            <sz val="9"/>
            <color indexed="81"/>
            <rFont val="Tahoma"/>
            <family val="2"/>
          </rPr>
          <t>Se traslada a:</t>
        </r>
        <r>
          <rPr>
            <b/>
            <sz val="9"/>
            <color indexed="81"/>
            <rFont val="Tahoma"/>
            <charset val="1"/>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Código unspc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MANTENIMIENTO PREVENTIVO Y CORRECTIVO A TODO COSTO DE LOS ASCENSORES DE LOS DIFERENTES EDIFICIOS DE VIVIENDAS FISCALES EN BOGOTÁ</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Estudios preliminares y diseños proyectos de construccion ICFE</t>
        </r>
      </text>
    </comment>
    <comment ref="R320"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5"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1"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2"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3"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5" authorId="1" shapeId="0">
      <text>
        <r>
          <rPr>
            <b/>
            <sz val="9"/>
            <color indexed="81"/>
            <rFont val="Tahoma"/>
            <charset val="1"/>
          </rPr>
          <t xml:space="preserve">Oficio: </t>
        </r>
        <r>
          <rPr>
            <sz val="9"/>
            <color indexed="81"/>
            <rFont val="Tahoma"/>
            <family val="2"/>
          </rPr>
          <t>83197</t>
        </r>
        <r>
          <rPr>
            <b/>
            <sz val="9"/>
            <color indexed="81"/>
            <rFont val="Tahoma"/>
            <charset val="1"/>
          </rPr>
          <t xml:space="preserve">
Valor:</t>
        </r>
        <r>
          <rPr>
            <sz val="9"/>
            <color indexed="81"/>
            <rFont val="Tahoma"/>
            <family val="2"/>
          </rPr>
          <t xml:space="preserve"> $200.000.000</t>
        </r>
        <r>
          <rPr>
            <b/>
            <sz val="9"/>
            <color indexed="81"/>
            <rFont val="Tahoma"/>
            <charset val="1"/>
          </rPr>
          <t xml:space="preserve">
Se traslada a: </t>
        </r>
        <r>
          <rPr>
            <sz val="9"/>
            <color indexed="81"/>
            <rFont val="Tahoma"/>
            <family val="2"/>
          </rPr>
          <t>Interventoría Mantenimiento Cubiertas Bogotá y a nivel nacional</t>
        </r>
      </text>
    </comment>
    <comment ref="L336"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6"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7"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1"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<sst xmlns="http://schemas.openxmlformats.org/spreadsheetml/2006/main" count="111882" uniqueCount="106294">
  <si>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</si>
  <si>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</si>
  <si>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</si>
  <si>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</si>
  <si>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</si>
  <si>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</si>
  <si>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</si>
  <si>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</si>
  <si>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</si>
  <si>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</si>
  <si>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</si>
  <si>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</si>
  <si>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</si>
  <si>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</si>
  <si>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</si>
  <si>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</si>
  <si>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</si>
  <si>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</si>
  <si>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</si>
  <si>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</si>
  <si>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</si>
  <si>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</si>
  <si>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</si>
  <si>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</si>
  <si>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</si>
  <si>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</si>
  <si>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</si>
  <si>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</si>
  <si>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</si>
  <si>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</si>
  <si>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</si>
  <si>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</si>
  <si>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</si>
  <si>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</si>
  <si>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</si>
  <si>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</si>
  <si>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</si>
  <si>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</si>
  <si>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</si>
  <si>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</si>
  <si>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</si>
  <si>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</si>
  <si>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</si>
  <si>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</si>
  <si>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</si>
  <si>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</si>
  <si>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</si>
  <si>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</si>
  <si>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</si>
  <si>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</si>
  <si>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</si>
  <si>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</si>
  <si>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</si>
  <si>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</si>
  <si>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</si>
  <si>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</si>
  <si>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</si>
  <si>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</si>
  <si>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</si>
  <si>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</si>
  <si>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</si>
  <si>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</si>
  <si>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</si>
  <si>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</si>
  <si>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</si>
  <si>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</si>
  <si>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</si>
  <si>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</si>
  <si>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</si>
  <si>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</si>
  <si>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</si>
  <si>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</si>
  <si>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</si>
  <si>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</si>
  <si>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</si>
  <si>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</si>
  <si>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</si>
  <si>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</si>
  <si>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</si>
  <si>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</si>
  <si>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</si>
  <si>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</si>
  <si>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</si>
  <si>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</si>
  <si>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</si>
  <si>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</si>
  <si>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</si>
  <si>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</si>
  <si>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</si>
  <si>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</si>
  <si>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</si>
  <si>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</si>
  <si>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</si>
  <si>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</si>
  <si>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</si>
  <si>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</si>
  <si>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</si>
  <si>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</si>
  <si>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</si>
  <si>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</si>
  <si>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</si>
  <si>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</si>
  <si>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</si>
  <si>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</si>
  <si>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</si>
  <si>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</si>
  <si>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</si>
  <si>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</si>
  <si>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</si>
  <si>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</si>
  <si>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</si>
  <si>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</si>
  <si>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</si>
  <si>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</si>
  <si>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</si>
  <si>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</si>
  <si>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</si>
  <si>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</si>
  <si>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</si>
  <si>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</si>
  <si>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</si>
  <si>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</si>
  <si>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</si>
  <si>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</si>
  <si>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</si>
  <si>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</si>
  <si>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</si>
  <si>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</si>
  <si>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</si>
  <si>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</si>
  <si>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</si>
  <si>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</si>
  <si>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</si>
  <si>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</si>
  <si>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</si>
  <si>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</si>
  <si>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</si>
  <si>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</si>
  <si>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</si>
  <si>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</si>
  <si>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</si>
  <si>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</si>
  <si>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</si>
  <si>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</si>
  <si>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</si>
  <si>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</si>
  <si>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</si>
  <si>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</si>
  <si>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</si>
  <si>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</si>
  <si>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</si>
  <si>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</si>
  <si>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</si>
  <si>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</si>
  <si>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</si>
  <si>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</si>
  <si>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</si>
  <si>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</si>
  <si>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</si>
  <si>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</si>
  <si>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</si>
  <si>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</si>
  <si>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</si>
  <si>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</si>
  <si>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</si>
  <si>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</si>
  <si>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</si>
  <si>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</si>
  <si>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</si>
  <si>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</si>
  <si>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</si>
  <si>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</si>
  <si>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</si>
  <si>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</si>
  <si>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</si>
  <si>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</si>
  <si>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</si>
  <si>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</si>
  <si>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</si>
  <si>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</si>
  <si>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</si>
  <si>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</si>
  <si>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</si>
  <si>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</si>
  <si>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</si>
  <si>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</si>
  <si>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</si>
  <si>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</si>
  <si>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</si>
  <si>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</si>
  <si>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</si>
  <si>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</si>
  <si>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</si>
  <si>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</si>
  <si>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</si>
  <si>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</si>
  <si>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</si>
  <si>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</si>
  <si>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</si>
  <si>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</si>
  <si>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</si>
  <si>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</si>
  <si>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</si>
  <si>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</si>
  <si>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</si>
  <si>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</si>
  <si>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</si>
  <si>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</si>
  <si>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</si>
  <si>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</si>
  <si>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</si>
  <si>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</si>
  <si>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</si>
  <si>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</si>
  <si>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</si>
  <si>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</si>
  <si>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</si>
  <si>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</si>
  <si>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</si>
  <si>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</si>
  <si>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</si>
  <si>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</si>
  <si>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</si>
  <si>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</si>
  <si>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</si>
  <si>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</si>
  <si>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</si>
  <si>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</si>
  <si>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</si>
  <si>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</si>
  <si>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</si>
  <si>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</si>
  <si>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</si>
  <si>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</si>
  <si>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</si>
  <si>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</si>
  <si>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</si>
  <si>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</si>
  <si>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</si>
  <si>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</si>
  <si>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</si>
  <si>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</si>
  <si>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</si>
  <si>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</si>
  <si>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</si>
  <si>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</si>
  <si>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</si>
  <si>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</si>
  <si>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</si>
  <si>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</si>
  <si>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</si>
  <si>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</si>
  <si>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</si>
  <si>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</si>
  <si>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</si>
  <si>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</si>
  <si>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</si>
  <si>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</si>
  <si>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</si>
  <si>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</si>
  <si>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</si>
  <si>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</si>
  <si>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</si>
  <si>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</si>
  <si>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</si>
  <si>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</si>
  <si>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</si>
  <si>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</si>
  <si>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</si>
  <si>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</si>
  <si>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</si>
  <si>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</si>
  <si>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</si>
  <si>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</si>
  <si>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</si>
  <si>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</si>
  <si>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</si>
  <si>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</si>
  <si>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</si>
  <si>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</si>
  <si>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</si>
  <si>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</si>
  <si>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</si>
  <si>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</si>
  <si>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</si>
  <si>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</si>
  <si>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</si>
  <si>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</si>
  <si>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</si>
  <si>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</si>
  <si>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</si>
  <si>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</si>
  <si>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</si>
  <si>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</si>
  <si>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</si>
  <si>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</si>
  <si>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</si>
  <si>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</si>
  <si>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</si>
  <si>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</si>
  <si>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</si>
  <si>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</si>
  <si>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</si>
  <si>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</si>
  <si>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</si>
  <si>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</si>
  <si>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</si>
  <si>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</si>
  <si>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</si>
  <si>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</si>
  <si>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</si>
  <si>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</si>
  <si>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</si>
  <si>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</si>
  <si>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</si>
  <si>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</si>
  <si>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</si>
  <si>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</si>
  <si>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</si>
  <si>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</si>
  <si>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</si>
  <si>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</si>
  <si>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</si>
  <si>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</si>
  <si>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</si>
  <si>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</si>
  <si>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</si>
  <si>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</si>
  <si>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</si>
  <si>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</si>
  <si>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</si>
  <si>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</si>
  <si>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</si>
  <si>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</si>
  <si>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</si>
  <si>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</si>
  <si>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</si>
  <si>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</si>
  <si>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</si>
  <si>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</si>
  <si>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</si>
  <si>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</si>
  <si>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</si>
  <si>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</si>
  <si>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</si>
  <si>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</si>
  <si>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</si>
  <si>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</si>
  <si>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</si>
  <si>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</si>
  <si>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</si>
  <si>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</si>
  <si>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</si>
  <si>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</si>
  <si>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</si>
  <si>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</si>
  <si>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</si>
  <si>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</si>
  <si>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</si>
  <si>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</si>
  <si>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</si>
  <si>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</si>
  <si>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</si>
  <si>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</si>
  <si>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</si>
  <si>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</si>
  <si>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</si>
  <si>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</si>
  <si>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</si>
  <si>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</si>
  <si>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</si>
  <si>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</si>
  <si>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</si>
  <si>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</si>
  <si>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</si>
  <si>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</si>
  <si>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</si>
  <si>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</si>
  <si>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</si>
  <si>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</si>
  <si>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</si>
  <si>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</si>
  <si>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</si>
  <si>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</si>
  <si>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</si>
  <si>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</si>
  <si>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</si>
  <si>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</si>
  <si>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</si>
  <si>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</si>
  <si>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</si>
  <si>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</si>
  <si>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</si>
  <si>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</si>
  <si>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</si>
  <si>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</si>
  <si>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</si>
  <si>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</si>
  <si>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</si>
  <si>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</si>
  <si>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</si>
  <si>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</si>
  <si>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</si>
  <si>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</si>
  <si>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</si>
  <si>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</si>
  <si>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</si>
  <si>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</si>
  <si>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</si>
  <si>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</si>
  <si>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</si>
  <si>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</si>
  <si>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</si>
  <si>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</si>
  <si>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</si>
  <si>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</si>
  <si>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</si>
  <si>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</si>
  <si>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</si>
  <si>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</si>
  <si>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</si>
  <si>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</si>
  <si>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</si>
  <si>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</si>
  <si>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</si>
  <si>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</si>
  <si>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</si>
  <si>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</si>
  <si>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</si>
  <si>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</si>
  <si>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</si>
  <si>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</si>
  <si>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</si>
  <si>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</si>
  <si>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</si>
  <si>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</si>
  <si>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</si>
  <si>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</si>
  <si>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</si>
  <si>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</si>
  <si>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</si>
  <si>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</si>
  <si>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</si>
  <si>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</si>
  <si>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</si>
  <si>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</si>
  <si>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</si>
  <si>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</si>
  <si>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</si>
  <si>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</si>
  <si>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</si>
  <si>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</si>
  <si>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</si>
  <si>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</si>
  <si>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</si>
  <si>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</si>
  <si>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</si>
  <si>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</si>
  <si>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</si>
  <si>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</si>
  <si>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</si>
  <si>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</si>
  <si>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</si>
  <si>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</si>
  <si>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</si>
  <si>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</si>
  <si>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</si>
  <si>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</si>
  <si>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</si>
  <si>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</si>
  <si>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</si>
  <si>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</si>
  <si>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</si>
  <si>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</si>
  <si>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</si>
  <si>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</si>
  <si>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</si>
  <si>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</si>
  <si>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</si>
  <si>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</si>
  <si>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</si>
  <si>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</si>
  <si>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</si>
  <si>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</si>
  <si>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</si>
  <si>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</si>
  <si>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</si>
  <si>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</si>
  <si>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</si>
  <si>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</si>
  <si>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</si>
  <si>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</si>
  <si>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</si>
  <si>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</si>
  <si>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</si>
  <si>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</si>
  <si>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</si>
  <si>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</si>
  <si>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</si>
  <si>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</si>
  <si>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</si>
  <si>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</si>
  <si>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</si>
  <si>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</si>
  <si>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</si>
  <si>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</si>
  <si>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</si>
  <si>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</si>
  <si>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</si>
  <si>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</si>
  <si>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</si>
  <si>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</si>
  <si>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</si>
  <si>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</si>
  <si>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</si>
  <si>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</si>
  <si>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</si>
  <si>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</si>
  <si>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</si>
  <si>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</si>
  <si>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</si>
  <si>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</si>
  <si>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</si>
  <si>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</si>
  <si>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</si>
  <si>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</si>
  <si>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</si>
  <si>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</si>
  <si>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</si>
  <si>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</si>
  <si>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</si>
  <si>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</si>
  <si>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</si>
  <si>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</si>
  <si>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</si>
  <si>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</si>
  <si>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</si>
  <si>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</si>
  <si>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</si>
  <si>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</si>
  <si>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</si>
  <si>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</si>
  <si>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</si>
  <si>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</si>
  <si>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</si>
  <si>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</si>
  <si>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</si>
  <si>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</si>
  <si>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</si>
  <si>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</si>
  <si>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</si>
  <si>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</si>
  <si>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</si>
  <si>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</si>
  <si>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</si>
  <si>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</si>
  <si>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</si>
  <si>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</si>
  <si>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</si>
  <si>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</si>
  <si>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</si>
  <si>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</si>
  <si>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</si>
  <si>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</si>
  <si>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</si>
  <si>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</si>
  <si>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</si>
  <si>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</si>
  <si>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</si>
  <si>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</si>
  <si>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</si>
  <si>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</si>
  <si>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</si>
  <si>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</si>
  <si>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</si>
  <si>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</si>
  <si>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</si>
  <si>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</si>
  <si>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</si>
  <si>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</si>
  <si>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</si>
  <si>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</si>
  <si>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</si>
  <si>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</si>
  <si>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</si>
  <si>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</si>
  <si>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</si>
  <si>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</si>
  <si>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</si>
  <si>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</si>
  <si>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</si>
  <si>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</si>
  <si>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</si>
  <si>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</si>
  <si>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</si>
  <si>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</si>
  <si>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</si>
  <si>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</si>
  <si>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</si>
  <si>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</si>
  <si>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</si>
  <si>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</si>
  <si>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</si>
  <si>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</si>
  <si>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</si>
  <si>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</si>
  <si>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</si>
  <si>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</si>
  <si>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</si>
  <si>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</si>
  <si>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</si>
  <si>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</si>
  <si>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</si>
  <si>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</si>
  <si>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</si>
  <si>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</si>
  <si>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</si>
  <si>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</si>
  <si>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</si>
  <si>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</si>
  <si>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</si>
  <si>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</si>
  <si>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</si>
  <si>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</si>
  <si>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</si>
  <si>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</si>
  <si>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</si>
  <si>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</si>
  <si>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</si>
  <si>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</si>
  <si>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</si>
  <si>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</si>
  <si>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</si>
  <si>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</si>
  <si>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</si>
  <si>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</si>
  <si>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</si>
  <si>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</si>
  <si>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</si>
  <si>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</si>
  <si>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</si>
  <si>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</si>
  <si>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</si>
  <si>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</si>
  <si>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</si>
  <si>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</si>
  <si>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</si>
  <si>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</si>
  <si>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</si>
  <si>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</si>
  <si>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</si>
  <si>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</si>
  <si>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</si>
  <si>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</si>
  <si>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</si>
  <si>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</si>
  <si>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</si>
  <si>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</si>
  <si>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</si>
  <si>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</si>
  <si>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</si>
  <si>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</si>
  <si>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</si>
  <si>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</si>
  <si>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</si>
  <si>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</si>
  <si>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</si>
  <si>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</si>
  <si>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</si>
  <si>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</si>
  <si>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</si>
  <si>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</si>
  <si>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</si>
  <si>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</si>
  <si>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</si>
  <si>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</si>
  <si>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</si>
  <si>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</si>
  <si>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</si>
  <si>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</si>
  <si>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</si>
  <si>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</si>
  <si>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</si>
  <si>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</si>
  <si>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</si>
  <si>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</si>
  <si>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</si>
  <si>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</si>
  <si>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</si>
  <si>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</si>
  <si>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</si>
  <si>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</si>
  <si>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</si>
  <si>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</si>
  <si>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</si>
  <si>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</si>
  <si>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</si>
  <si>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</si>
  <si>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</si>
  <si>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</si>
  <si>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</si>
  <si>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</si>
  <si>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</si>
  <si>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</si>
  <si>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</si>
  <si>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</si>
  <si>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</si>
  <si>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</si>
  <si>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</si>
  <si>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</si>
  <si>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</si>
  <si>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</si>
  <si>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</si>
  <si>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</si>
  <si>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</si>
  <si>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</si>
  <si>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</si>
  <si>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</si>
  <si>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</si>
  <si>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</si>
  <si>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</si>
  <si>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</si>
  <si>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</si>
  <si>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</si>
  <si>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</si>
  <si>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</si>
  <si>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</si>
  <si>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</si>
  <si>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</si>
  <si>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</si>
  <si>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</si>
  <si>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</si>
  <si>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</si>
  <si>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</si>
  <si>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</si>
  <si>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</si>
  <si>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</si>
  <si>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</si>
  <si>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</si>
  <si>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</si>
  <si>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</si>
  <si>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</si>
  <si>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</si>
  <si>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</si>
  <si>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</si>
  <si>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</si>
  <si>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</si>
  <si>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</si>
  <si>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</si>
  <si>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</si>
  <si>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</si>
  <si>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</si>
  <si>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</si>
  <si>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</si>
  <si>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</si>
  <si>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</si>
  <si>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</si>
  <si>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</si>
  <si>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</si>
  <si>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</si>
  <si>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</si>
  <si>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</si>
  <si>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</si>
  <si>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</si>
  <si>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</si>
  <si>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</si>
  <si>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</si>
  <si>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</si>
  <si>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</si>
  <si>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</si>
  <si>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</si>
  <si>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</si>
  <si>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</si>
  <si>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</si>
  <si>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</si>
  <si>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</si>
  <si>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</si>
  <si>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</si>
  <si>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</si>
  <si>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</si>
  <si>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</si>
  <si>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</si>
  <si>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</si>
  <si>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</si>
  <si>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</si>
  <si>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</si>
  <si>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</si>
  <si>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</si>
  <si>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</si>
  <si>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</si>
  <si>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</si>
  <si>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</si>
  <si>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</si>
  <si>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</si>
  <si>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</si>
  <si>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</si>
  <si>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</si>
  <si>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</si>
  <si>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</si>
  <si>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</si>
  <si>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</si>
  <si>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</si>
  <si>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</si>
  <si>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</si>
  <si>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</si>
  <si>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</si>
  <si>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</si>
  <si>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</si>
  <si>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</si>
  <si>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</si>
  <si>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</si>
  <si>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</si>
  <si>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</si>
  <si>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</si>
  <si>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</si>
  <si>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</si>
  <si>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</si>
  <si>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</si>
  <si>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</si>
  <si>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</si>
  <si>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</si>
  <si>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</si>
  <si>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</si>
  <si>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</si>
  <si>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</si>
  <si>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</si>
  <si>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</si>
  <si>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</si>
  <si>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</si>
  <si>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</si>
  <si>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</si>
  <si>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</si>
  <si>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</si>
  <si>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</si>
  <si>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</si>
  <si>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</si>
  <si>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</si>
  <si>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</si>
  <si>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</si>
  <si>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</si>
  <si>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</si>
  <si>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</si>
  <si>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</si>
  <si>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</si>
  <si>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</si>
  <si>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</si>
  <si>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</si>
  <si>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</si>
  <si>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</si>
  <si>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</si>
  <si>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</si>
  <si>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</si>
  <si>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</si>
  <si>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</si>
  <si>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</si>
  <si>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</si>
  <si>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</si>
  <si>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</si>
  <si>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</si>
  <si>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</si>
  <si>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</si>
  <si>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</si>
  <si>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</si>
  <si>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</si>
  <si>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</si>
  <si>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</si>
  <si>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</si>
  <si>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</si>
  <si>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</si>
  <si>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</si>
  <si>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</si>
  <si>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</si>
  <si>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</si>
  <si>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</si>
  <si>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</si>
  <si>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</si>
  <si>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</si>
  <si>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</si>
  <si>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</si>
  <si>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</si>
  <si>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</si>
  <si>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</si>
  <si>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</si>
  <si>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</si>
  <si>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</si>
  <si>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</si>
  <si>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</si>
  <si>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</si>
  <si>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</si>
  <si>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</si>
  <si>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</si>
  <si>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</si>
  <si>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</si>
  <si>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</si>
  <si>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</si>
  <si>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</si>
  <si>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</si>
  <si>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</si>
  <si>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</si>
  <si>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</si>
  <si>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</si>
  <si>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</si>
  <si>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</si>
  <si>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</si>
  <si>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</si>
  <si>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</si>
  <si>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</si>
  <si>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</si>
  <si>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</si>
  <si>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</si>
  <si>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</si>
  <si>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</si>
  <si>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</si>
  <si>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</si>
  <si>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</si>
  <si>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</si>
  <si>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</si>
  <si>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</si>
  <si>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</si>
  <si>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</si>
  <si>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</si>
  <si>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</si>
  <si>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</si>
  <si>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</si>
  <si>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</si>
  <si>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</si>
  <si>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</si>
  <si>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</si>
  <si>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</si>
  <si>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</si>
  <si>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</si>
  <si>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</si>
  <si>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</si>
  <si>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</si>
  <si>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</si>
  <si>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</si>
  <si>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</si>
  <si>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</si>
  <si>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</si>
  <si>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</si>
  <si>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</si>
  <si>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</si>
  <si>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</si>
  <si>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</si>
  <si>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</si>
  <si>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</si>
  <si>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</si>
  <si>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</si>
  <si>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</si>
  <si>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</si>
  <si>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</si>
  <si>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</si>
  <si>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</si>
  <si>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</si>
  <si>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</si>
  <si>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</si>
  <si>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</si>
  <si>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</si>
  <si>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</si>
  <si>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</si>
  <si>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</si>
  <si>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</si>
  <si>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</si>
  <si>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</si>
  <si>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</si>
  <si>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</si>
  <si>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</si>
  <si>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</si>
  <si>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</si>
  <si>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</si>
  <si>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</si>
  <si>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</si>
  <si>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</si>
  <si>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</si>
  <si>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</si>
  <si>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</si>
  <si>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</si>
  <si>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</si>
  <si>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</si>
  <si>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</si>
  <si>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</si>
  <si>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</si>
  <si>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</si>
  <si>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</si>
  <si>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</si>
  <si>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</si>
  <si>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</si>
  <si>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</si>
  <si>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</si>
  <si>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</si>
  <si>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</si>
  <si>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</si>
  <si>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</si>
  <si>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</si>
  <si>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</si>
  <si>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</si>
  <si>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</si>
  <si>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</si>
  <si>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</si>
  <si>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</si>
  <si>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</si>
  <si>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</si>
  <si>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</si>
  <si>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</si>
  <si>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</si>
  <si>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</si>
  <si>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</si>
  <si>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</si>
  <si>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</si>
  <si>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</si>
  <si>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</si>
  <si>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</si>
  <si>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</si>
  <si>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</si>
  <si>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</si>
  <si>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</si>
  <si>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</si>
  <si>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</si>
  <si>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</si>
  <si>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</si>
  <si>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</si>
  <si>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</si>
  <si>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</si>
  <si>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</si>
  <si>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</si>
  <si>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</si>
  <si>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</si>
  <si>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</si>
  <si>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</si>
  <si>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</si>
  <si>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</si>
  <si>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</si>
  <si>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</si>
  <si>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</si>
  <si>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</si>
  <si>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</si>
  <si>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</si>
  <si>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</si>
  <si>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</si>
  <si>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</si>
  <si>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</si>
  <si>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</si>
  <si>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</si>
  <si>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</si>
  <si>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</si>
  <si>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</si>
  <si>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</si>
  <si>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</si>
  <si>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</si>
  <si>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</si>
  <si>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</si>
  <si>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</si>
  <si>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</si>
  <si>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</si>
  <si>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</si>
  <si>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</si>
  <si>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</si>
  <si>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</si>
  <si>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</si>
  <si>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</si>
  <si>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</si>
  <si>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</si>
  <si>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</si>
  <si>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</si>
  <si>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</si>
  <si>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</si>
  <si>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</si>
  <si>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</si>
  <si>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</si>
  <si>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</si>
  <si>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</si>
  <si>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</si>
  <si>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</si>
  <si>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</si>
  <si>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</si>
  <si>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</si>
  <si>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</si>
  <si>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</si>
  <si>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</si>
  <si>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</si>
  <si>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</si>
  <si>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</si>
  <si>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</si>
  <si>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</si>
  <si>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</si>
  <si>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</si>
  <si>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</si>
  <si>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</si>
  <si>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</si>
  <si>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</si>
  <si>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</si>
  <si>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</si>
  <si>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</si>
  <si>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</si>
  <si>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</si>
  <si>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</si>
  <si>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</si>
  <si>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</si>
  <si>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</si>
  <si>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</si>
  <si>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</si>
  <si>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</si>
  <si>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</si>
  <si>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</si>
  <si>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</si>
  <si>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</si>
  <si>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</si>
  <si>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</si>
  <si>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</si>
  <si>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</si>
  <si>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</si>
  <si>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</si>
  <si>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</si>
  <si>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</si>
  <si>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</si>
  <si>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</si>
  <si>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</si>
  <si>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</si>
  <si>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</si>
  <si>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</si>
  <si>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</si>
  <si>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</si>
  <si>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</si>
  <si>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</si>
  <si>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</si>
  <si>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</si>
  <si>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</si>
  <si>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</si>
  <si>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</si>
  <si>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</si>
  <si>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</si>
  <si>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</si>
  <si>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</si>
  <si>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</si>
  <si>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</si>
  <si>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</si>
  <si>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</si>
  <si>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</si>
  <si>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</si>
  <si>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</si>
  <si>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</si>
  <si>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</si>
  <si>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</si>
  <si>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</si>
  <si>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</si>
  <si>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</si>
  <si>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</si>
  <si>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</si>
  <si>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</si>
  <si>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</si>
  <si>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</si>
  <si>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</si>
  <si>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</si>
  <si>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</si>
  <si>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</si>
  <si>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</si>
  <si>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</si>
  <si>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</si>
  <si>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</si>
  <si>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</si>
  <si>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</si>
  <si>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</si>
  <si>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</si>
  <si>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</si>
  <si>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</si>
  <si>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</si>
  <si>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</si>
  <si>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</si>
  <si>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</si>
  <si>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</si>
  <si>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</si>
  <si>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</si>
  <si>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</si>
  <si>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</si>
  <si>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</si>
  <si>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</si>
  <si>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</si>
  <si>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</si>
  <si>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</si>
  <si>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</si>
  <si>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</si>
  <si>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</si>
  <si>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</si>
  <si>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</si>
  <si>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</si>
  <si>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</si>
  <si>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</si>
  <si>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</si>
  <si>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</si>
  <si>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</si>
  <si>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</si>
  <si>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</si>
  <si>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</si>
  <si>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</si>
  <si>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</si>
  <si>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</si>
  <si>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</si>
  <si>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</si>
  <si>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</si>
  <si>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</si>
  <si>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</si>
  <si>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</si>
  <si>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</si>
  <si>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</si>
  <si>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</si>
  <si>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</si>
  <si>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</si>
  <si>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</si>
  <si>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</si>
  <si>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</si>
  <si>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</si>
  <si>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</si>
  <si>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</si>
  <si>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</si>
  <si>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</si>
  <si>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</si>
  <si>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</si>
  <si>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</si>
  <si>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</si>
  <si>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</si>
  <si>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</si>
  <si>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</si>
  <si>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</si>
  <si>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</si>
  <si>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</si>
  <si>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</si>
  <si>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</si>
  <si>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</si>
  <si>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</si>
  <si>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</si>
  <si>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</si>
  <si>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</si>
  <si>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</si>
  <si>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</si>
  <si>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</si>
  <si>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</si>
  <si>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</si>
  <si>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</si>
  <si>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</si>
  <si>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</si>
  <si>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</si>
  <si>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</si>
  <si>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</si>
  <si>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</si>
  <si>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</si>
  <si>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</si>
  <si>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</si>
  <si>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</si>
  <si>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</si>
  <si>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</si>
  <si>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</si>
  <si>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</si>
  <si>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</si>
  <si>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</si>
  <si>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</si>
  <si>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</si>
  <si>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</si>
  <si>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</si>
  <si>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</si>
  <si>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</si>
  <si>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</si>
  <si>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</si>
  <si>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</si>
  <si>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</si>
  <si>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</si>
  <si>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</si>
  <si>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</si>
  <si>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</si>
  <si>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</si>
  <si>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</si>
  <si>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</si>
  <si>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</si>
  <si>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</si>
  <si>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</si>
  <si>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</si>
  <si>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</si>
  <si>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</si>
  <si>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</si>
  <si>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</si>
  <si>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</si>
  <si>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</si>
  <si>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</si>
  <si>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</si>
  <si>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</si>
  <si>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</si>
  <si>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</si>
  <si>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</si>
  <si>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</si>
  <si>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</si>
  <si>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</si>
  <si>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</si>
  <si>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</si>
  <si>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</si>
  <si>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</si>
  <si>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</si>
  <si>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</si>
  <si>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</si>
  <si>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</si>
  <si>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</si>
  <si>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</si>
  <si>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</si>
  <si>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</si>
  <si>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</si>
  <si>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</si>
  <si>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</si>
  <si>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</si>
  <si>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</si>
  <si>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</si>
  <si>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</si>
  <si>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</si>
  <si>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</si>
  <si>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</si>
  <si>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</si>
  <si>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</si>
  <si>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</si>
  <si>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</si>
  <si>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</si>
  <si>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</si>
  <si>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</si>
  <si>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</si>
  <si>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</si>
  <si>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</si>
  <si>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</si>
  <si>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</si>
  <si>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</si>
  <si>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</si>
  <si>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</si>
  <si>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</si>
  <si>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</si>
  <si>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</si>
  <si>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</si>
  <si>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</si>
  <si>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</si>
  <si>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</si>
  <si>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</si>
  <si>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</si>
  <si>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</si>
  <si>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</si>
  <si>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</si>
  <si>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</si>
  <si>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</si>
  <si>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</si>
  <si>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</si>
  <si>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</si>
  <si>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</si>
  <si>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</si>
  <si>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</si>
  <si>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</si>
  <si>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</si>
  <si>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</si>
  <si>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</si>
  <si>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</si>
  <si>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</si>
  <si>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</si>
  <si>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</si>
  <si>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</si>
  <si>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</si>
  <si>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</si>
  <si>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</si>
  <si>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</si>
  <si>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</si>
  <si>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</si>
  <si>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</si>
  <si>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</si>
  <si>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</si>
  <si>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</si>
  <si>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</si>
  <si>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</si>
  <si>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</si>
  <si>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</si>
  <si>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</si>
  <si>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</si>
  <si>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</si>
  <si>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</si>
  <si>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</si>
  <si>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</si>
  <si>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</si>
  <si>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</si>
  <si>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</si>
  <si>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</si>
  <si>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</si>
  <si>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</si>
  <si>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</si>
  <si>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</si>
  <si>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</si>
  <si>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</si>
  <si>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</si>
  <si>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</si>
  <si>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</si>
  <si>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</si>
  <si>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</si>
  <si>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</si>
  <si>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</si>
  <si>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</si>
  <si>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</si>
  <si>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</si>
  <si>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</si>
  <si>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</si>
  <si>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</si>
  <si>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</si>
  <si>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</si>
  <si>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</si>
  <si>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</si>
  <si>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</si>
  <si>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</si>
  <si>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</si>
  <si>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</si>
  <si>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</si>
  <si>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</si>
  <si>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</si>
  <si>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</si>
  <si>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</si>
  <si>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</si>
  <si>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</si>
  <si>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</si>
  <si>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</si>
  <si>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</si>
  <si>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</si>
  <si>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</si>
  <si>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</si>
  <si>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</si>
  <si>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</si>
  <si>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</si>
  <si>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</si>
  <si>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</si>
  <si>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</si>
  <si>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</si>
  <si>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</si>
  <si>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</si>
  <si>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</si>
  <si>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</si>
  <si>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</si>
  <si>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</si>
  <si>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</si>
  <si>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</si>
  <si>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</si>
  <si>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</si>
  <si>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</si>
  <si>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</si>
  <si>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</si>
  <si>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</si>
  <si>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</si>
  <si>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</si>
  <si>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</si>
  <si>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</si>
  <si>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</si>
  <si>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</si>
  <si>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</si>
  <si>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</si>
  <si>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</si>
  <si>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</si>
  <si>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</si>
  <si>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</si>
  <si>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</si>
  <si>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</si>
  <si>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</si>
  <si>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</si>
  <si>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</si>
  <si>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</si>
  <si>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</si>
  <si>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</si>
  <si>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</si>
  <si>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</si>
  <si>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</si>
  <si>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</si>
  <si>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</si>
  <si>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</si>
  <si>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</si>
  <si>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</si>
  <si>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</si>
  <si>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</si>
  <si>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</si>
  <si>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</si>
  <si>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</si>
  <si>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</si>
  <si>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</si>
  <si>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</si>
  <si>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</si>
  <si>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</si>
  <si>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</si>
  <si>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</si>
  <si>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</si>
  <si>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</si>
  <si>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</si>
  <si>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</si>
  <si>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</si>
  <si>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</si>
  <si>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</si>
  <si>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</si>
  <si>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</si>
  <si>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</si>
  <si>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</si>
  <si>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</si>
  <si>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</si>
  <si>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</si>
  <si>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</si>
  <si>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</si>
  <si>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</si>
  <si>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</si>
  <si>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</si>
  <si>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</si>
  <si>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</si>
  <si>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</si>
  <si>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</si>
  <si>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</si>
  <si>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</si>
  <si>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</si>
  <si>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</si>
  <si>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</si>
  <si>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</si>
  <si>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</si>
  <si>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</si>
  <si>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</si>
  <si>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</si>
  <si>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</si>
  <si>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</si>
  <si>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</si>
  <si>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</si>
  <si>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</si>
  <si>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</si>
  <si>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</si>
  <si>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</si>
  <si>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</si>
  <si>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</si>
  <si>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</si>
  <si>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</si>
  <si>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</si>
  <si>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</si>
  <si>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</si>
  <si>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</si>
  <si>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</si>
  <si>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</si>
  <si>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</si>
  <si>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</si>
  <si>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</si>
  <si>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</si>
  <si>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</si>
  <si>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</si>
  <si>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</si>
  <si>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</si>
  <si>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</si>
  <si>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</si>
  <si>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</si>
  <si>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</si>
  <si>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</si>
  <si>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</si>
  <si>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</si>
  <si>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</si>
  <si>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</si>
  <si>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</si>
  <si>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</si>
  <si>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</si>
  <si>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</si>
  <si>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</si>
  <si>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</si>
  <si>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</si>
  <si>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</si>
  <si>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</si>
  <si>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</si>
  <si>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</si>
  <si>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</si>
  <si>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</si>
  <si>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</si>
  <si>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</si>
  <si>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</si>
  <si>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</si>
  <si>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</si>
  <si>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</si>
  <si>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</si>
  <si>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</si>
  <si>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</si>
  <si>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</si>
  <si>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</si>
  <si>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</si>
  <si>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</si>
  <si>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</si>
  <si>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</si>
  <si>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</si>
  <si>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</si>
  <si>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</si>
  <si>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</si>
  <si>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</si>
  <si>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</si>
  <si>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</si>
  <si>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</si>
  <si>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</si>
  <si>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</si>
  <si>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</si>
  <si>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</si>
  <si>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</si>
  <si>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</si>
  <si>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</si>
  <si>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</si>
  <si>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</si>
  <si>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</si>
  <si>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</si>
  <si>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</si>
  <si>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</si>
  <si>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</si>
  <si>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</si>
  <si>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</si>
  <si>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</si>
  <si>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</si>
  <si>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</si>
  <si>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</si>
  <si>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</si>
  <si>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</si>
  <si>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</si>
  <si>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</si>
  <si>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</si>
  <si>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</si>
  <si>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</si>
  <si>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</si>
  <si>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</si>
  <si>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</si>
  <si>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</si>
  <si>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</si>
  <si>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</si>
  <si>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</si>
  <si>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</si>
  <si>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</si>
  <si>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</si>
  <si>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</si>
  <si>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</si>
  <si>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</si>
  <si>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</si>
  <si>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</si>
  <si>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</si>
  <si>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</si>
  <si>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</si>
  <si>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</si>
  <si>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</si>
  <si>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</si>
  <si>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</si>
  <si>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</si>
  <si>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</si>
  <si>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</si>
  <si>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</si>
  <si>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</si>
  <si>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</si>
  <si>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</si>
  <si>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</si>
  <si>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</si>
  <si>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</si>
  <si>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</si>
  <si>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</si>
  <si>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</si>
  <si>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</si>
  <si>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</si>
  <si>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</si>
  <si>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</si>
  <si>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</si>
  <si>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</si>
  <si>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</si>
  <si>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</si>
  <si>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</si>
  <si>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</si>
  <si>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</si>
  <si>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</si>
  <si>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</si>
  <si>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</si>
  <si>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</si>
  <si>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</si>
  <si>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</si>
  <si>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</si>
  <si>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</si>
  <si>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</si>
  <si>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</si>
  <si>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</si>
  <si>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</si>
  <si>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</si>
  <si>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</si>
  <si>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</si>
  <si>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</si>
  <si>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</si>
  <si>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</si>
  <si>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</si>
  <si>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</si>
  <si>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</si>
  <si>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</si>
  <si>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</si>
  <si>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</si>
  <si>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</si>
  <si>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</si>
  <si>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</si>
  <si>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</si>
  <si>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</si>
  <si>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</si>
  <si>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</si>
  <si>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</si>
  <si>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</si>
  <si>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</si>
  <si>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</si>
  <si>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</si>
  <si>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</si>
  <si>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</si>
  <si>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</si>
  <si>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</si>
  <si>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</si>
  <si>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</si>
  <si>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</si>
  <si>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</si>
  <si>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</si>
  <si>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</si>
  <si>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</si>
  <si>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</si>
  <si>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</si>
  <si>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</si>
  <si>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</si>
  <si>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</si>
  <si>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</si>
  <si>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</si>
  <si>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</si>
  <si>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</si>
  <si>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</si>
  <si>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</si>
  <si>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</si>
  <si>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</si>
  <si>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</si>
  <si>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</si>
  <si>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</si>
  <si>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</si>
  <si>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</si>
  <si>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</si>
  <si>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</si>
  <si>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</si>
  <si>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</si>
  <si>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</si>
  <si>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</si>
  <si>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</si>
  <si>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</si>
  <si>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</si>
  <si>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</si>
  <si>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</si>
  <si>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</si>
  <si>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</si>
  <si>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</si>
  <si>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</si>
  <si>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</si>
  <si>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</si>
  <si>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</si>
  <si>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</si>
  <si>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</si>
  <si>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</si>
  <si>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</si>
  <si>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</si>
  <si>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</si>
  <si>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</si>
  <si>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</si>
  <si>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</si>
  <si>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</si>
  <si>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</si>
  <si>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</si>
  <si>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</si>
  <si>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</si>
  <si>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</si>
  <si>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</si>
  <si>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</si>
  <si>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</si>
  <si>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</si>
  <si>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</si>
  <si>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</si>
  <si>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</si>
  <si>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</si>
  <si>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</si>
  <si>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</si>
  <si>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</si>
  <si>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</si>
  <si>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</si>
  <si>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</si>
  <si>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</si>
  <si>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</si>
  <si>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</si>
  <si>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</si>
  <si>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</si>
  <si>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</si>
  <si>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</si>
  <si>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</si>
  <si>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</si>
  <si>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</si>
  <si>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</si>
  <si>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</si>
  <si>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</si>
  <si>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</si>
  <si>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</si>
  <si>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</si>
  <si>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</si>
  <si>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</si>
  <si>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</si>
  <si>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</si>
  <si>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</si>
  <si>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</si>
  <si>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</si>
  <si>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</si>
  <si>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</si>
  <si>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</si>
  <si>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</si>
  <si>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</si>
  <si>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</si>
  <si>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</si>
  <si>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</si>
  <si>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</si>
  <si>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</si>
  <si>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</si>
  <si>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</si>
  <si>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</si>
  <si>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</si>
  <si>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</si>
  <si>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</si>
  <si>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</si>
  <si>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</si>
  <si>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</si>
  <si>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</si>
  <si>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</si>
  <si>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</si>
  <si>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</si>
  <si>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</si>
  <si>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</si>
  <si>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</si>
  <si>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</si>
  <si>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</si>
  <si>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</si>
  <si>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</si>
  <si>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</si>
  <si>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</si>
  <si>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</si>
  <si>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</si>
  <si>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</si>
  <si>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</si>
  <si>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</si>
  <si>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</si>
  <si>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</si>
  <si>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</si>
  <si>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</si>
  <si>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</si>
  <si>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</si>
  <si>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</si>
  <si>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</si>
  <si>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</si>
  <si>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</si>
  <si>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</si>
  <si>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</si>
  <si>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</si>
  <si>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</si>
  <si>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</si>
  <si>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</si>
  <si>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</si>
  <si>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</si>
  <si>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</si>
  <si>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</si>
  <si>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</si>
  <si>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</si>
  <si>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</si>
  <si>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</si>
  <si>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</si>
  <si>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</si>
  <si>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</si>
  <si>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</si>
  <si>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</si>
  <si>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</si>
  <si>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</si>
  <si>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</si>
  <si>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</si>
  <si>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</si>
  <si>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</si>
  <si>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</si>
  <si>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</si>
  <si>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</si>
  <si>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</si>
  <si>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</si>
  <si>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</si>
  <si>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</si>
  <si>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</si>
  <si>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</si>
  <si>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</si>
  <si>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</si>
  <si>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</si>
  <si>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</si>
  <si>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</si>
  <si>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</si>
  <si>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</si>
  <si>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</si>
  <si>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</si>
  <si>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</si>
  <si>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</si>
  <si>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</si>
  <si>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</si>
  <si>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</si>
  <si>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</si>
  <si>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</si>
  <si>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</si>
  <si>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</si>
  <si>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</si>
  <si>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</si>
  <si>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</si>
  <si>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</si>
  <si>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</si>
  <si>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</si>
  <si>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</si>
  <si>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</si>
  <si>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</si>
  <si>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</si>
  <si>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</si>
  <si>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</si>
  <si>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</si>
  <si>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</si>
  <si>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</si>
  <si>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</si>
  <si>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</si>
  <si>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</si>
  <si>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</si>
  <si>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</si>
  <si>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</si>
  <si>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</si>
  <si>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</si>
  <si>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</si>
  <si>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</si>
  <si>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</si>
  <si>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</si>
  <si>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</si>
  <si>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</si>
  <si>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</si>
  <si>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</si>
  <si>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</si>
  <si>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</si>
  <si>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</si>
  <si>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</si>
  <si>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</si>
  <si>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</si>
  <si>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</si>
  <si>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</si>
  <si>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</si>
  <si>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</si>
  <si>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</si>
  <si>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</si>
  <si>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</si>
  <si>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</si>
  <si>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</si>
  <si>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</si>
  <si>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</si>
  <si>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</si>
  <si>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</si>
  <si>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</si>
  <si>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</si>
  <si>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</si>
  <si>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</si>
  <si>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</si>
  <si>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</si>
  <si>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</si>
  <si>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</si>
  <si>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</si>
  <si>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</si>
  <si>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</si>
  <si>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</si>
  <si>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</si>
  <si>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</si>
  <si>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</si>
  <si>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</si>
  <si>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</si>
  <si>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</si>
  <si>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</si>
  <si>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</si>
  <si>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</si>
  <si>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</si>
  <si>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</si>
  <si>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</si>
  <si>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</si>
  <si>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</si>
  <si>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</si>
  <si>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</si>
  <si>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</si>
  <si>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</si>
  <si>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</si>
  <si>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</si>
  <si>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</si>
  <si>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</si>
  <si>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</si>
  <si>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</si>
  <si>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</si>
  <si>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</si>
  <si>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</si>
  <si>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</si>
  <si>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</si>
  <si>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</si>
  <si>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</si>
  <si>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</si>
  <si>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</si>
  <si>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</si>
  <si>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</si>
  <si>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</si>
  <si>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</si>
  <si>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</si>
  <si>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</si>
  <si>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</si>
  <si>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</si>
  <si>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</si>
  <si>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</si>
  <si>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</si>
  <si>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</si>
  <si>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</si>
  <si>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</si>
  <si>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</si>
  <si>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</si>
  <si>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</si>
  <si>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</si>
  <si>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</si>
  <si>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</si>
  <si>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</si>
  <si>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</si>
  <si>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</si>
  <si>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</si>
  <si>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</si>
  <si>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</si>
  <si>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</si>
  <si>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</si>
  <si>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</si>
  <si>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</si>
  <si>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</si>
  <si>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</si>
  <si>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</si>
  <si>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</si>
  <si>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</si>
  <si>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</si>
  <si>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</si>
  <si>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</si>
  <si>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</si>
  <si>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</si>
  <si>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</si>
  <si>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</si>
  <si>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</si>
  <si>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</si>
  <si>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</si>
  <si>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</si>
  <si>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</si>
  <si>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</si>
  <si>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</si>
  <si>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</si>
  <si>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</si>
  <si>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</si>
  <si>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</si>
  <si>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</si>
  <si>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</si>
  <si>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</si>
  <si>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</si>
  <si>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</si>
  <si>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</si>
  <si>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</si>
  <si>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</si>
  <si>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</si>
  <si>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</si>
  <si>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</si>
  <si>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</si>
  <si>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</si>
  <si>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</si>
  <si>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</si>
  <si>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</si>
  <si>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</si>
  <si>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</si>
  <si>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</si>
  <si>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</si>
  <si>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</si>
  <si>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</si>
  <si>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</si>
  <si>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</si>
  <si>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</si>
  <si>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</si>
  <si>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</si>
  <si>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</si>
  <si>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</si>
  <si>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</si>
  <si>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</si>
  <si>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</si>
  <si>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</si>
  <si>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</si>
  <si>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</si>
  <si>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</si>
  <si>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</si>
  <si>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</si>
  <si>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</si>
  <si>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</si>
  <si>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</si>
  <si>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</si>
  <si>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</si>
  <si>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</si>
  <si>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</si>
  <si>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</si>
  <si>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</si>
  <si>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</si>
  <si>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</si>
  <si>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</si>
  <si>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</si>
  <si>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</si>
  <si>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</si>
  <si>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</si>
  <si>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</si>
  <si>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</si>
  <si>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</si>
  <si>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</si>
  <si>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</si>
  <si>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</si>
  <si>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</si>
  <si>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</si>
  <si>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</si>
  <si>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</si>
  <si>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</si>
  <si>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</si>
  <si>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</si>
  <si>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</si>
  <si>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</si>
  <si>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</si>
  <si>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</si>
  <si>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</si>
  <si>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</si>
  <si>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</si>
  <si>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</si>
  <si>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</si>
  <si>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</si>
  <si>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</si>
  <si>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</si>
  <si>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</si>
  <si>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</si>
  <si>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</si>
  <si>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</si>
  <si>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</si>
  <si>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</si>
  <si>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</si>
  <si>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</si>
  <si>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</si>
  <si>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</si>
  <si>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</si>
  <si>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</si>
  <si>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</si>
  <si>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</si>
  <si>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</si>
  <si>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</si>
  <si>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</si>
  <si>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</si>
  <si>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</si>
  <si>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</si>
  <si>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</si>
  <si>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</si>
  <si>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</si>
  <si>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</si>
  <si>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</si>
  <si>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</si>
  <si>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</si>
  <si>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</si>
  <si>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</si>
  <si>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</si>
  <si>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</si>
  <si>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</si>
  <si>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</si>
  <si>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</si>
  <si>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</si>
  <si>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</si>
  <si>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</si>
  <si>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</si>
  <si>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</si>
  <si>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</si>
  <si>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</si>
  <si>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</si>
  <si>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</si>
  <si>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</si>
  <si>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</si>
  <si>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</si>
  <si>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</si>
  <si>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</si>
  <si>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</si>
  <si>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</si>
  <si>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</si>
  <si>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</si>
  <si>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</si>
  <si>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</si>
  <si>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</si>
  <si>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</si>
  <si>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</si>
  <si>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</si>
  <si>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</si>
  <si>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</si>
  <si>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</si>
  <si>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</si>
  <si>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</si>
  <si>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</si>
  <si>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</si>
  <si>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</si>
  <si>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</si>
  <si>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</si>
  <si>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</si>
  <si>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</si>
  <si>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</si>
  <si>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</si>
  <si>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</si>
  <si>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</si>
  <si>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</si>
  <si>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</si>
  <si>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</si>
  <si>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</si>
  <si>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</si>
  <si>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</si>
  <si>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</si>
  <si>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</si>
  <si>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</si>
  <si>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</si>
  <si>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</si>
  <si>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</si>
  <si>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</si>
  <si>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</si>
  <si>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</si>
  <si>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</si>
  <si>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</si>
  <si>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</si>
  <si>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</si>
  <si>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</si>
  <si>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</si>
  <si>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</si>
  <si>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</si>
  <si>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</si>
  <si>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</si>
  <si>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</si>
  <si>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</si>
  <si>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</si>
  <si>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</si>
  <si>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</si>
  <si>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</si>
  <si>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</si>
  <si>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</si>
  <si>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</si>
  <si>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</si>
  <si>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</si>
  <si>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</si>
  <si>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</si>
  <si>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</si>
  <si>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</si>
  <si>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</si>
  <si>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</si>
  <si>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</si>
  <si>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</si>
  <si>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</si>
  <si>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</si>
  <si>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</si>
  <si>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</si>
  <si>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</si>
  <si>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</si>
  <si>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</si>
  <si>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</si>
  <si>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</si>
  <si>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</si>
  <si>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</si>
  <si>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</si>
  <si>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</si>
  <si>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</si>
  <si>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</si>
  <si>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</si>
  <si>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</si>
  <si>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</si>
  <si>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</si>
  <si>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</si>
  <si>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</si>
  <si>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</si>
  <si>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</si>
  <si>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</si>
  <si>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</si>
  <si>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</si>
  <si>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</si>
  <si>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</si>
  <si>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</si>
  <si>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</si>
  <si>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</si>
  <si>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</si>
  <si>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</si>
  <si>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</si>
  <si>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</si>
  <si>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</si>
  <si>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</si>
  <si>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</si>
  <si>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</si>
  <si>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</si>
  <si>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</si>
  <si>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</si>
  <si>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</si>
  <si>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</si>
  <si>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</si>
  <si>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</si>
  <si>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</si>
  <si>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</si>
  <si>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</si>
  <si>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</si>
  <si>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</si>
  <si>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</si>
  <si>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</si>
  <si>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</si>
  <si>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</si>
  <si>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</si>
  <si>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</si>
  <si>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</si>
  <si>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</si>
  <si>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</si>
  <si>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</si>
  <si>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</si>
  <si>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</si>
  <si>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</si>
  <si>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</si>
  <si>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</si>
  <si>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</si>
  <si>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</si>
  <si>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</si>
  <si>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</si>
  <si>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</si>
  <si>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</si>
  <si>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</si>
  <si>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</si>
  <si>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</si>
  <si>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</si>
  <si>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</si>
  <si>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</si>
  <si>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</si>
  <si>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</si>
  <si>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</si>
  <si>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</si>
  <si>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</si>
  <si>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</si>
  <si>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</si>
  <si>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</si>
  <si>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</si>
  <si>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</si>
  <si>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</si>
  <si>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</si>
  <si>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</si>
  <si>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</si>
  <si>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</si>
  <si>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</si>
  <si>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</si>
  <si>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</si>
  <si>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</si>
  <si>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</si>
  <si>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</si>
  <si>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</si>
  <si>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</si>
  <si>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</si>
  <si>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</si>
  <si>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</si>
  <si>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</si>
  <si>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</si>
  <si>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</si>
  <si>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</si>
  <si>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</si>
  <si>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</si>
  <si>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</si>
  <si>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</si>
  <si>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</si>
  <si>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</si>
  <si>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</si>
  <si>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</si>
  <si>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</si>
  <si>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</si>
  <si>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</si>
  <si>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</si>
  <si>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</si>
  <si>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</si>
  <si>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</si>
  <si>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</si>
  <si>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</si>
  <si>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</si>
  <si>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</si>
  <si>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</si>
  <si>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</si>
  <si>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</si>
  <si>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</si>
  <si>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</si>
  <si>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</si>
  <si>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</si>
  <si>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</si>
  <si>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</si>
  <si>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</si>
  <si>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</si>
  <si>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</si>
  <si>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</si>
  <si>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</si>
  <si>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</si>
  <si>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</si>
  <si>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</si>
  <si>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</si>
  <si>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</si>
  <si>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</si>
  <si>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</si>
  <si>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</si>
  <si>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</si>
  <si>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</si>
  <si>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</si>
  <si>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</si>
  <si>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</si>
  <si>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</si>
  <si>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</si>
  <si>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</si>
  <si>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</si>
  <si>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</si>
  <si>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</si>
  <si>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</si>
  <si>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</si>
  <si>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</si>
  <si>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</si>
  <si>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</si>
  <si>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</si>
  <si>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</si>
  <si>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</si>
  <si>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</si>
  <si>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</si>
  <si>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</si>
  <si>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</si>
  <si>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</si>
  <si>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</si>
  <si>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</si>
  <si>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</si>
  <si>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</si>
  <si>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</si>
  <si>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</si>
  <si>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</si>
  <si>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</si>
  <si>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</si>
  <si>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</si>
  <si>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</si>
  <si>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</si>
  <si>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</si>
  <si>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</si>
  <si>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</si>
  <si>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</si>
  <si>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</si>
  <si>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</si>
  <si>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</si>
  <si>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</si>
  <si>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</si>
  <si>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</si>
  <si>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</si>
  <si>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</si>
  <si>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</si>
  <si>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</si>
  <si>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</si>
  <si>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</si>
  <si>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</si>
  <si>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</si>
  <si>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</si>
  <si>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</si>
  <si>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</si>
  <si>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</si>
  <si>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</si>
  <si>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</si>
  <si>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</si>
  <si>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</si>
  <si>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</si>
  <si>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</si>
  <si>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</si>
  <si>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</si>
  <si>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</si>
  <si>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</si>
  <si>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</si>
  <si>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</si>
  <si>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</si>
  <si>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</si>
  <si>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</si>
  <si>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</si>
  <si>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</si>
  <si>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</si>
  <si>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</si>
  <si>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</si>
  <si>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</si>
  <si>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</si>
  <si>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</si>
  <si>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</si>
  <si>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</si>
  <si>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</si>
  <si>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</si>
  <si>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</si>
  <si>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</si>
  <si>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</si>
  <si>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</si>
  <si>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</si>
  <si>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</si>
  <si>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</si>
  <si>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</si>
  <si>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</si>
  <si>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</si>
  <si>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</si>
  <si>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</si>
  <si>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</si>
  <si>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</si>
  <si>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</si>
  <si>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</si>
  <si>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</si>
  <si>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</si>
  <si>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</si>
  <si>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</si>
  <si>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</si>
  <si>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</si>
  <si>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</si>
  <si>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</si>
  <si>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</si>
  <si>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</si>
  <si>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</si>
  <si>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</si>
  <si>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</si>
  <si>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</si>
  <si>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</si>
  <si>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</si>
  <si>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</si>
  <si>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</si>
  <si>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</si>
  <si>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</si>
  <si>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</si>
  <si>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</si>
  <si>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</si>
  <si>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</si>
  <si>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</si>
  <si>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</si>
  <si>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</si>
  <si>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</si>
  <si>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</si>
  <si>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</si>
  <si>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</si>
  <si>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</si>
  <si>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</si>
  <si>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</si>
  <si>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</si>
  <si>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</si>
  <si>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</si>
  <si>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</si>
  <si>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</si>
  <si>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</si>
  <si>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</si>
  <si>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</si>
  <si>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</si>
  <si>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</si>
  <si>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</si>
  <si>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</si>
  <si>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</si>
  <si>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</si>
  <si>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</si>
  <si>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</si>
  <si>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</si>
  <si>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</si>
  <si>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</si>
  <si>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</si>
  <si>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</si>
  <si>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</si>
  <si>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</si>
  <si>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</si>
  <si>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</si>
  <si>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</si>
  <si>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</si>
  <si>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</si>
  <si>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</si>
  <si>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</si>
  <si>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</si>
  <si>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</si>
  <si>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</si>
  <si>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</si>
  <si>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</si>
  <si>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</si>
  <si>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</si>
  <si>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</si>
  <si>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</si>
  <si>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</si>
  <si>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</si>
  <si>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</si>
  <si>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</si>
  <si>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</si>
  <si>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</si>
  <si>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</si>
  <si>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</si>
  <si>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</si>
  <si>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</si>
  <si>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</si>
  <si>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</si>
  <si>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</si>
  <si>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</si>
  <si>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</si>
  <si>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</si>
  <si>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</si>
  <si>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</si>
  <si>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</si>
  <si>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</si>
  <si>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</si>
  <si>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</si>
  <si>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</si>
  <si>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</si>
  <si>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</si>
  <si>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</si>
  <si>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</si>
  <si>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</si>
  <si>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</si>
  <si>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</si>
  <si>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</si>
  <si>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</si>
  <si>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</si>
  <si>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</si>
  <si>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</si>
  <si>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</si>
  <si>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</si>
  <si>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</si>
  <si>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</si>
  <si>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</si>
  <si>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</si>
  <si>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</si>
  <si>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</si>
  <si>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</si>
  <si>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</si>
  <si>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</si>
  <si>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</si>
  <si>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</si>
  <si>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</si>
  <si>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</si>
  <si>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</si>
  <si>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</si>
  <si>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</si>
  <si>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</si>
  <si>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</si>
  <si>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</si>
  <si>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</si>
  <si>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</si>
  <si>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</si>
  <si>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</si>
  <si>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</si>
  <si>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</si>
  <si>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</si>
  <si>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</si>
  <si>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</si>
  <si>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</si>
  <si>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</si>
  <si>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</si>
  <si>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</si>
  <si>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</si>
  <si>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</si>
  <si>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</si>
  <si>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</si>
  <si>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</si>
  <si>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</si>
  <si>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</si>
  <si>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</si>
  <si>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</si>
  <si>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</si>
  <si>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</si>
  <si>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</si>
  <si>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</si>
  <si>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</si>
  <si>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</si>
  <si>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</si>
  <si>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</si>
  <si>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</si>
  <si>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</si>
  <si>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</si>
  <si>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</si>
  <si>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</si>
  <si>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</si>
  <si>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</si>
  <si>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</si>
  <si>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</si>
  <si>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</si>
  <si>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</si>
  <si>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</si>
  <si>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</si>
  <si>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</si>
  <si>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</si>
  <si>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</si>
  <si>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</si>
  <si>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</si>
  <si>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</si>
  <si>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</si>
  <si>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</si>
  <si>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</si>
  <si>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</si>
  <si>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</si>
  <si>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</si>
  <si>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</si>
  <si>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</si>
  <si>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</si>
  <si>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</si>
  <si>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</si>
  <si>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</si>
  <si>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</si>
  <si>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</si>
  <si>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</si>
  <si>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</si>
  <si>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</si>
  <si>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</si>
  <si>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</si>
  <si>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</si>
  <si>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</si>
  <si>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</si>
  <si>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</si>
  <si>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</si>
  <si>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</si>
  <si>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</si>
  <si>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</si>
  <si>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</si>
  <si>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</si>
  <si>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</si>
  <si>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</si>
  <si>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</si>
  <si>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</si>
  <si>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</si>
  <si>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</si>
  <si>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</si>
  <si>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</si>
  <si>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</si>
  <si>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</si>
  <si>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</si>
  <si>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</si>
  <si>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</si>
  <si>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</si>
  <si>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</si>
  <si>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</si>
  <si>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</si>
  <si>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</si>
  <si>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</si>
  <si>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</si>
  <si>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</si>
  <si>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</si>
  <si>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</si>
  <si>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</si>
  <si>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</si>
  <si>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</si>
  <si>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</si>
  <si>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</si>
  <si>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</si>
  <si>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</si>
  <si>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</si>
  <si>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</si>
  <si>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</si>
  <si>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</si>
  <si>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</si>
  <si>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</si>
  <si>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</si>
  <si>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</si>
  <si>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</si>
  <si>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</si>
  <si>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</si>
  <si>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</si>
  <si>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</si>
  <si>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</si>
  <si>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</si>
  <si>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</si>
  <si>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</si>
  <si>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</si>
  <si>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</si>
  <si>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</si>
  <si>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</si>
  <si>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</si>
  <si>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</si>
  <si>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</si>
  <si>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</si>
  <si>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</si>
  <si>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</si>
  <si>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</si>
  <si>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</si>
  <si>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</si>
  <si>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</si>
  <si>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</si>
  <si>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</si>
  <si>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</si>
  <si>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</si>
  <si>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</si>
  <si>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</si>
  <si>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</si>
  <si>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</si>
  <si>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</si>
  <si>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</si>
  <si>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</si>
  <si>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</si>
  <si>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</si>
  <si>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</si>
  <si>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</si>
  <si>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</si>
  <si>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</si>
  <si>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</si>
  <si>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</si>
  <si>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</si>
  <si>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</si>
  <si>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</si>
  <si>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</si>
  <si>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</si>
  <si>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</si>
  <si>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</si>
  <si>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</si>
  <si>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</si>
  <si>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</si>
  <si>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</si>
  <si>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</si>
  <si>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</si>
  <si>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</si>
  <si>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</si>
  <si>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</si>
  <si>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</si>
  <si>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</si>
  <si>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</si>
  <si>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</si>
  <si>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</si>
  <si>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</si>
  <si>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</si>
  <si>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</si>
  <si>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</si>
  <si>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</si>
  <si>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</si>
  <si>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</si>
  <si>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</si>
  <si>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</si>
  <si>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</si>
  <si>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</si>
  <si>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</si>
  <si>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</si>
  <si>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</si>
  <si>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</si>
  <si>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</si>
  <si>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</si>
  <si>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</si>
  <si>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</si>
  <si>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</si>
  <si>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</si>
  <si>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</si>
  <si>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</si>
  <si>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</si>
  <si>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</si>
  <si>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</si>
  <si>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</si>
  <si>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</si>
  <si>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</si>
  <si>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</si>
  <si>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</si>
  <si>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</si>
  <si>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</si>
  <si>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</si>
  <si>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</si>
  <si>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</si>
  <si>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</si>
  <si>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</si>
  <si>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</si>
  <si>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</si>
  <si>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</si>
  <si>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</si>
  <si>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</si>
  <si>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</si>
  <si>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</si>
  <si>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</si>
  <si>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</si>
  <si>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</si>
  <si>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</si>
  <si>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</si>
  <si>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</si>
  <si>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</si>
  <si>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</si>
  <si>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</si>
  <si>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</si>
  <si>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</si>
  <si>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</si>
  <si>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</si>
  <si>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</si>
  <si>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</si>
  <si>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</si>
  <si>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</si>
  <si>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</si>
  <si>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</si>
  <si>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</si>
  <si>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</si>
  <si>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</si>
  <si>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</si>
  <si>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</si>
  <si>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</si>
  <si>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</si>
  <si>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</si>
  <si>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</si>
  <si>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</si>
  <si>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</si>
  <si>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</si>
  <si>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</si>
  <si>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</si>
  <si>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</si>
  <si>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</si>
  <si>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</si>
  <si>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</si>
  <si>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</si>
  <si>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</si>
  <si>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</si>
  <si>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</si>
  <si>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</si>
  <si>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</si>
  <si>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</si>
  <si>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</si>
  <si>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</si>
  <si>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</si>
  <si>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</si>
  <si>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</si>
  <si>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</si>
  <si>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</si>
  <si>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</si>
  <si>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</si>
  <si>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</si>
  <si>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</si>
  <si>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</si>
  <si>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</si>
  <si>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</si>
  <si>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</si>
  <si>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</si>
  <si>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</si>
  <si>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</si>
  <si>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</si>
  <si>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</si>
  <si>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</si>
  <si>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</si>
  <si>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</si>
  <si>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</si>
  <si>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</si>
  <si>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</si>
  <si>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</si>
  <si>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</si>
  <si>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</si>
  <si>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</si>
  <si>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</si>
  <si>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</si>
  <si>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</si>
  <si>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</si>
  <si>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</si>
  <si>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</si>
  <si>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</si>
  <si>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</si>
  <si>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</si>
  <si>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</si>
  <si>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</si>
  <si>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</si>
  <si>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</si>
  <si>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</si>
  <si>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</si>
  <si>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</si>
  <si>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</si>
  <si>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</si>
  <si>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</si>
  <si>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</si>
  <si>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</si>
  <si>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</si>
  <si>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</si>
  <si>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</si>
  <si>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</si>
  <si>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</si>
  <si>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</si>
  <si>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</si>
  <si>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</si>
  <si>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</si>
  <si>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</si>
  <si>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</si>
  <si>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</si>
  <si>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</si>
  <si>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</si>
  <si>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</si>
  <si>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</si>
  <si>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</si>
  <si>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</si>
  <si>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</si>
  <si>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</si>
  <si>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</si>
  <si>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</si>
  <si>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</si>
  <si>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</si>
  <si>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</si>
  <si>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</si>
  <si>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</si>
  <si>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</si>
  <si>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</si>
  <si>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</si>
  <si>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</si>
  <si>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</si>
  <si>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</si>
  <si>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</si>
  <si>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</si>
  <si>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</si>
  <si>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</si>
  <si>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</si>
  <si>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</si>
  <si>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</si>
  <si>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</si>
  <si>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</si>
  <si>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</si>
  <si>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</si>
  <si>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</si>
  <si>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</si>
  <si>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</si>
  <si>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</si>
  <si>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</si>
  <si>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</si>
  <si>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</si>
  <si>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</si>
  <si>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</si>
  <si>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</si>
  <si>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</si>
  <si>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</si>
  <si>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</si>
  <si>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</si>
  <si>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</si>
  <si>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</si>
  <si>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</si>
  <si>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</si>
  <si>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</si>
  <si>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</si>
  <si>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</si>
  <si>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</si>
  <si>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</si>
  <si>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</si>
  <si>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</si>
  <si>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</si>
  <si>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</si>
  <si>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</si>
  <si>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</si>
  <si>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</si>
  <si>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</si>
  <si>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</si>
  <si>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</si>
  <si>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</si>
  <si>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</si>
  <si>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</si>
  <si>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</si>
  <si>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</si>
  <si>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</si>
  <si>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</si>
  <si>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</si>
  <si>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</si>
  <si>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</si>
  <si>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</si>
  <si>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</si>
  <si>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</si>
  <si>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</si>
  <si>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</si>
  <si>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</si>
  <si>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</si>
  <si>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</si>
  <si>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</si>
  <si>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</si>
  <si>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</si>
  <si>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</si>
  <si>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</si>
  <si>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</si>
  <si>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</si>
  <si>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</si>
  <si>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</si>
  <si>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</si>
  <si>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</si>
  <si>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</si>
  <si>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</si>
  <si>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</si>
  <si>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</si>
  <si>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</si>
  <si>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</si>
  <si>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</si>
  <si>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</si>
  <si>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</si>
  <si>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</si>
  <si>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</si>
  <si>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</si>
  <si>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</si>
  <si>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</si>
  <si>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</si>
  <si>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</si>
  <si>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</si>
  <si>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</si>
  <si>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</si>
  <si>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</si>
  <si>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</si>
  <si>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</si>
  <si>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</si>
  <si>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</si>
  <si>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</si>
  <si>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</si>
  <si>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</si>
  <si>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</si>
  <si>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</si>
  <si>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</si>
  <si>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</si>
  <si>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</si>
  <si>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</si>
  <si>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</si>
  <si>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</si>
  <si>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</si>
  <si>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</si>
  <si>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</si>
  <si>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</si>
  <si>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</si>
  <si>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</si>
  <si>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</si>
  <si>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</si>
  <si>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</si>
  <si>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</si>
  <si>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</si>
  <si>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</si>
  <si>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</si>
  <si>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</si>
  <si>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</si>
  <si>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</si>
  <si>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</si>
  <si>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</si>
  <si>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</si>
  <si>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</si>
  <si>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</si>
  <si>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</si>
  <si>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</si>
  <si>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</si>
  <si>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</si>
  <si>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</si>
  <si>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</si>
  <si>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</si>
  <si>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</si>
  <si>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</si>
  <si>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</si>
  <si>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</si>
  <si>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</si>
  <si>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</si>
  <si>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</si>
  <si>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</si>
  <si>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</si>
  <si>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</si>
  <si>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</si>
  <si>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</si>
  <si>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</si>
  <si>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</si>
  <si>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</si>
  <si>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</si>
  <si>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</si>
  <si>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</si>
  <si>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</si>
  <si>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</si>
  <si>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</si>
  <si>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</si>
  <si>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</si>
  <si>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</si>
  <si>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</si>
  <si>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</si>
  <si>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</si>
  <si>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</si>
  <si>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</si>
  <si>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</si>
  <si>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</si>
  <si>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</si>
  <si>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</si>
  <si>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</si>
  <si>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</si>
  <si>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</si>
  <si>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</si>
  <si>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</si>
  <si>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</si>
  <si>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</si>
  <si>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</si>
  <si>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</si>
  <si>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</si>
  <si>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</si>
  <si>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</si>
  <si>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</si>
  <si>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</si>
  <si>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</si>
  <si>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</si>
  <si>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</si>
  <si>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</si>
  <si>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</si>
  <si>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</si>
  <si>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</si>
  <si>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</si>
  <si>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</si>
  <si>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</si>
  <si>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</si>
  <si>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</si>
  <si>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</si>
  <si>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</si>
  <si>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</si>
  <si>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</si>
  <si>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</si>
  <si>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</si>
  <si>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</si>
  <si>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</si>
  <si>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</si>
  <si>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</si>
  <si>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</si>
  <si>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</si>
  <si>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</si>
  <si>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</si>
  <si>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</si>
  <si>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</si>
  <si>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</si>
  <si>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</si>
  <si>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</si>
  <si>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</si>
  <si>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</si>
  <si>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</si>
  <si>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</si>
  <si>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</si>
  <si>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</si>
  <si>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</si>
  <si>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</si>
  <si>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</si>
  <si>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</si>
  <si>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</si>
  <si>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</si>
  <si>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</si>
  <si>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</si>
  <si>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</si>
  <si>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</si>
  <si>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</si>
  <si>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</si>
  <si>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</si>
  <si>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</si>
  <si>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</si>
  <si>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</si>
  <si>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</si>
  <si>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</si>
  <si>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</si>
  <si>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</si>
  <si>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</si>
  <si>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</si>
  <si>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</si>
  <si>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</si>
  <si>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</si>
  <si>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</si>
  <si>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</si>
  <si>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</si>
  <si>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</si>
  <si>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</si>
  <si>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</si>
  <si>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</si>
  <si>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</si>
  <si>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</si>
  <si>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</si>
  <si>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</si>
  <si>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</si>
  <si>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</si>
  <si>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</si>
  <si>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</si>
  <si>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</si>
  <si>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</si>
  <si>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</si>
  <si>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</si>
  <si>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</si>
  <si>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</si>
  <si>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</si>
  <si>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</si>
  <si>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</si>
  <si>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</si>
  <si>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</si>
  <si>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</si>
  <si>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</si>
  <si>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</si>
  <si>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</si>
  <si>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</si>
  <si>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</si>
  <si>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</si>
  <si>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</si>
  <si>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</si>
  <si>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</si>
  <si>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</si>
  <si>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</si>
  <si>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</si>
  <si>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</si>
  <si>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</si>
  <si>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</si>
  <si>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</si>
  <si>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</si>
  <si>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</si>
  <si>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</si>
  <si>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</si>
  <si>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</si>
  <si>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</si>
  <si>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</si>
  <si>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</si>
  <si>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</si>
  <si>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</si>
  <si>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</si>
  <si>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</si>
  <si>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</si>
  <si>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</si>
  <si>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</si>
  <si>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</si>
  <si>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</si>
  <si>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</si>
  <si>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</si>
  <si>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</si>
  <si>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</si>
  <si>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</si>
  <si>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</si>
  <si>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</si>
  <si>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</si>
  <si>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</si>
  <si>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</si>
  <si>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</si>
  <si>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</si>
  <si>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</si>
  <si>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</si>
  <si>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</si>
  <si>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</si>
  <si>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</si>
  <si>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</si>
  <si>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</si>
  <si>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</si>
  <si>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</si>
  <si>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</si>
  <si>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</si>
  <si>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</si>
  <si>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</si>
  <si>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</si>
  <si>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</si>
  <si>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</si>
  <si>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</si>
  <si>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</si>
  <si>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</si>
  <si>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</si>
  <si>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</si>
  <si>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</si>
  <si>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</si>
  <si>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</si>
  <si>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</si>
  <si>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</si>
  <si>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</si>
  <si>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</si>
  <si>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</si>
  <si>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</si>
  <si>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</si>
  <si>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</si>
  <si>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</si>
  <si>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</si>
  <si>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</si>
  <si>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</si>
  <si>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</si>
  <si>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</si>
  <si>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</si>
  <si>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</si>
  <si>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</si>
  <si>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</si>
  <si>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</si>
  <si>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</si>
  <si>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</si>
  <si>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</si>
  <si>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</si>
  <si>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</si>
  <si>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</si>
  <si>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</si>
  <si>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</si>
  <si>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</si>
  <si>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</si>
  <si>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</si>
  <si>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</si>
  <si>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</si>
  <si>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</si>
  <si>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</si>
  <si>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</si>
  <si>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</si>
  <si>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</si>
  <si>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</si>
  <si>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</si>
  <si>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</si>
  <si>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</si>
  <si>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</si>
  <si>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</si>
  <si>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</si>
  <si>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</si>
  <si>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</si>
  <si>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</si>
  <si>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</si>
  <si>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</si>
  <si>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</si>
  <si>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</si>
  <si>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</si>
  <si>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</si>
  <si>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</si>
  <si>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</si>
  <si>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</si>
  <si>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</si>
  <si>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</si>
  <si>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</si>
  <si>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</si>
  <si>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</si>
  <si>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</si>
  <si>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</si>
  <si>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</si>
  <si>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</si>
  <si>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</si>
  <si>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</si>
  <si>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</si>
  <si>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</si>
  <si>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</si>
  <si>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</si>
  <si>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</si>
  <si>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</si>
  <si>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</si>
  <si>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</si>
  <si>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</si>
  <si>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</si>
  <si>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</si>
  <si>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</si>
  <si>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</si>
  <si>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</si>
  <si>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</si>
  <si>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</si>
  <si>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</si>
  <si>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</si>
  <si>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</si>
  <si>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</si>
  <si>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</si>
  <si>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</si>
  <si>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</si>
  <si>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</si>
  <si>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</si>
  <si>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</si>
  <si>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</si>
  <si>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</si>
  <si>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</si>
  <si>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</si>
  <si>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</si>
  <si>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</si>
  <si>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</si>
  <si>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</si>
  <si>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</si>
  <si>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</si>
  <si>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</si>
  <si>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</si>
  <si>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</si>
  <si>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</si>
  <si>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</si>
  <si>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</si>
  <si>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</si>
  <si>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</si>
  <si>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</si>
  <si>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</si>
  <si>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</si>
  <si>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</si>
  <si>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</si>
  <si>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</si>
  <si>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</si>
  <si>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</si>
  <si>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</si>
  <si>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</si>
  <si>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</si>
  <si>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</si>
  <si>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</si>
  <si>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</si>
  <si>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</si>
  <si>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</si>
  <si>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</si>
  <si>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</si>
  <si>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</si>
  <si>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</si>
  <si>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</si>
  <si>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</si>
  <si>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</si>
  <si>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</si>
  <si>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</si>
  <si>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</si>
  <si>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</si>
  <si>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</si>
  <si>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</si>
  <si>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</si>
  <si>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</si>
  <si>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</si>
  <si>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</si>
  <si>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</si>
  <si>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</si>
  <si>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</si>
  <si>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</si>
  <si>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</si>
  <si>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</si>
  <si>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</si>
  <si>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</si>
  <si>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</si>
  <si>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</si>
  <si>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</si>
  <si>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</si>
  <si>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</si>
  <si>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</si>
  <si>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</si>
  <si>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</si>
  <si>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</si>
  <si>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</si>
  <si>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</si>
  <si>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</si>
  <si>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</si>
  <si>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</si>
  <si>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</si>
  <si>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</si>
  <si>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</si>
  <si>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</si>
  <si>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</si>
  <si>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</si>
  <si>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</si>
  <si>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</si>
  <si>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</si>
  <si>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</si>
  <si>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</si>
  <si>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</si>
  <si>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</si>
  <si>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</si>
  <si>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</si>
  <si>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</si>
  <si>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</si>
  <si>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</si>
  <si>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</si>
  <si>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</si>
  <si>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</si>
  <si>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</si>
  <si>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</si>
  <si>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</si>
  <si>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</si>
  <si>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</si>
  <si>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</si>
  <si>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</si>
  <si>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</si>
  <si>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</si>
  <si>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</si>
  <si>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</si>
  <si>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</si>
  <si>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</si>
  <si>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</si>
  <si>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</si>
  <si>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</si>
  <si>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</si>
  <si>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</si>
  <si>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</si>
  <si>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</si>
  <si>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</si>
  <si>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</si>
  <si>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</si>
  <si>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</si>
  <si>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</si>
  <si>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</si>
  <si>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</si>
  <si>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</si>
  <si>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</si>
  <si>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</si>
  <si>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</si>
  <si>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</si>
  <si>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</si>
  <si>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</si>
  <si>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</si>
  <si>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</si>
  <si>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</si>
  <si>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</si>
  <si>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</si>
  <si>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</si>
  <si>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</si>
  <si>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</si>
  <si>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</si>
  <si>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</si>
  <si>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</si>
  <si>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</si>
  <si>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</si>
  <si>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</si>
  <si>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</si>
  <si>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</si>
  <si>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</si>
  <si>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</si>
  <si>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</si>
  <si>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</si>
  <si>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</si>
  <si>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</si>
  <si>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</si>
  <si>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</si>
  <si>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</si>
  <si>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</si>
  <si>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</si>
  <si>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</si>
  <si>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</si>
  <si>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</si>
  <si>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</si>
  <si>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</si>
  <si>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</si>
  <si>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</si>
  <si>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</si>
  <si>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</si>
  <si>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</si>
  <si>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</si>
  <si>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</si>
  <si>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</si>
  <si>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</si>
  <si>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</si>
  <si>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</si>
  <si>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</si>
  <si>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</si>
  <si>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</si>
  <si>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</si>
  <si>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</si>
  <si>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</si>
  <si>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</si>
  <si>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</si>
  <si>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</si>
  <si>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</si>
  <si>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</si>
  <si>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</si>
  <si>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</si>
  <si>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</si>
  <si>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</si>
  <si>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</si>
  <si>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</si>
  <si>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</si>
  <si>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</si>
  <si>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</si>
  <si>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</si>
  <si>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</si>
  <si>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</si>
  <si>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</si>
  <si>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</si>
  <si>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</si>
  <si>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</si>
  <si>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</si>
  <si>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</si>
  <si>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</si>
  <si>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</si>
  <si>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</si>
  <si>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</si>
  <si>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</si>
  <si>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</si>
  <si>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</si>
  <si>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</si>
  <si>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</si>
  <si>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</si>
  <si>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</si>
  <si>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</si>
  <si>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</si>
  <si>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</si>
  <si>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</si>
  <si>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</si>
  <si>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</si>
  <si>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</si>
  <si>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</si>
  <si>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</si>
  <si>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</si>
  <si>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</si>
  <si>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</si>
  <si>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</si>
  <si>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</si>
  <si>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</si>
  <si>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</si>
  <si>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</si>
  <si>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</si>
  <si>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</si>
  <si>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</si>
  <si>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</si>
  <si>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</si>
  <si>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</si>
  <si>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</si>
  <si>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</si>
  <si>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</si>
  <si>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</si>
  <si>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</si>
  <si>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</si>
  <si>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</si>
  <si>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</si>
  <si>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</si>
  <si>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</si>
  <si>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</si>
  <si>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</si>
  <si>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</si>
  <si>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</si>
  <si>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</si>
  <si>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</si>
  <si>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</si>
  <si>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</si>
  <si>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</si>
  <si>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</si>
  <si>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</si>
  <si>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</si>
  <si>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</si>
  <si>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</si>
  <si>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</si>
  <si>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</si>
  <si>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</si>
  <si>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</si>
  <si>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</si>
  <si>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</si>
  <si>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</si>
  <si>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</si>
  <si>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</si>
  <si>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</si>
  <si>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</si>
  <si>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</si>
  <si>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</si>
  <si>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</si>
  <si>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</si>
  <si>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</si>
  <si>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</si>
  <si>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</si>
  <si>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</si>
  <si>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</si>
  <si>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</si>
  <si>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</si>
  <si>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</si>
  <si>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</si>
  <si>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</si>
  <si>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</si>
  <si>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</si>
  <si>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</si>
  <si>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</si>
  <si>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</si>
  <si>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</si>
  <si>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</si>
  <si>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</si>
  <si>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</si>
  <si>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</si>
  <si>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</si>
  <si>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</si>
  <si>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</si>
  <si>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</si>
  <si>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</si>
  <si>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</si>
  <si>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</si>
  <si>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</si>
  <si>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</si>
  <si>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</si>
  <si>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</si>
  <si>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</si>
  <si>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</si>
  <si>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</si>
  <si>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</si>
  <si>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</si>
  <si>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</si>
  <si>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</si>
  <si>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</si>
  <si>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</si>
  <si>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</si>
  <si>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</si>
  <si>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</si>
  <si>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</si>
  <si>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</si>
  <si>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</si>
  <si>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</si>
  <si>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</si>
  <si>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</si>
  <si>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</si>
  <si>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</si>
  <si>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</si>
  <si>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</si>
  <si>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</si>
  <si>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</si>
  <si>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</si>
  <si>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</si>
  <si>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</si>
  <si>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</si>
  <si>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</si>
  <si>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</si>
  <si>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</si>
  <si>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</si>
  <si>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</si>
  <si>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</si>
  <si>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</si>
  <si>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</si>
  <si>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</si>
  <si>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</si>
  <si>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</si>
  <si>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</si>
  <si>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</si>
  <si>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</si>
  <si>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</si>
  <si>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</si>
  <si>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</si>
  <si>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</si>
  <si>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</si>
  <si>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</si>
  <si>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</si>
  <si>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</si>
  <si>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</si>
  <si>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</si>
  <si>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</si>
  <si>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</si>
  <si>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</si>
  <si>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</si>
  <si>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</si>
  <si>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</si>
  <si>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</si>
  <si>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</si>
  <si>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</si>
  <si>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</si>
  <si>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</si>
  <si>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</si>
  <si>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</si>
  <si>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</si>
  <si>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</si>
  <si>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</si>
  <si>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</si>
  <si>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</si>
  <si>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</si>
  <si>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</si>
  <si>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</si>
  <si>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</si>
  <si>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</si>
  <si>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</si>
  <si>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</si>
  <si>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</si>
  <si>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</si>
  <si>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</si>
  <si>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</si>
  <si>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</si>
  <si>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</si>
  <si>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</si>
  <si>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</si>
  <si>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</si>
  <si>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</si>
  <si>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</si>
  <si>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</si>
  <si>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</si>
  <si>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</si>
  <si>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</si>
  <si>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</si>
  <si>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</si>
  <si>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</si>
  <si>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</si>
  <si>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</si>
  <si>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</si>
  <si>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</si>
  <si>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</si>
  <si>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</si>
  <si>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</si>
  <si>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</si>
  <si>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</si>
  <si>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</si>
  <si>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</si>
  <si>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</si>
  <si>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</si>
  <si>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</si>
  <si>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</si>
  <si>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</si>
  <si>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</si>
  <si>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</si>
  <si>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</si>
  <si>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</si>
  <si>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</si>
  <si>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</si>
  <si>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</si>
  <si>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</si>
  <si>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</si>
  <si>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</si>
  <si>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</si>
  <si>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</si>
  <si>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</si>
  <si>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</si>
  <si>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</si>
  <si>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</si>
  <si>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</si>
  <si>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</si>
  <si>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</si>
  <si>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</si>
  <si>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</si>
  <si>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</si>
  <si>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</si>
  <si>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</si>
  <si>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</si>
  <si>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</si>
  <si>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</si>
  <si>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</si>
  <si>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</si>
  <si>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</si>
  <si>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</si>
  <si>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</si>
  <si>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</si>
  <si>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</si>
  <si>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</si>
  <si>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</si>
  <si>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</si>
  <si>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</si>
  <si>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</si>
  <si>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</si>
  <si>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</si>
  <si>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</si>
  <si>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</si>
  <si>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</si>
  <si>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</si>
  <si>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</si>
  <si>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</si>
  <si>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</si>
  <si>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</si>
  <si>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</si>
  <si>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</si>
  <si>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</si>
  <si>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</si>
  <si>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</si>
  <si>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</si>
  <si>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</si>
  <si>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</si>
  <si>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</si>
  <si>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</si>
  <si>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</si>
  <si>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</si>
  <si>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</si>
  <si>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</si>
  <si>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</si>
  <si>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</si>
  <si>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</si>
  <si>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</si>
  <si>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</si>
  <si>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</si>
  <si>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</si>
  <si>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</si>
  <si>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</si>
  <si>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</si>
  <si>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</si>
  <si>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</si>
  <si>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</si>
  <si>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</si>
  <si>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</si>
  <si>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</si>
  <si>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</si>
  <si>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</si>
  <si>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</si>
  <si>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</si>
  <si>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</si>
  <si>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</si>
  <si>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</si>
  <si>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</si>
  <si>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</si>
  <si>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</si>
  <si>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</si>
  <si>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</si>
  <si>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</si>
  <si>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</si>
  <si>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</si>
  <si>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</si>
  <si>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</si>
  <si>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</si>
  <si>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</si>
  <si>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</si>
  <si>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</si>
  <si>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</si>
  <si>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</si>
  <si>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</si>
  <si>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</si>
  <si>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</si>
  <si>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</si>
  <si>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</si>
  <si>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</si>
  <si>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</si>
  <si>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</si>
  <si>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</si>
  <si>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</si>
  <si>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</si>
  <si>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</si>
  <si>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</si>
  <si>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</si>
  <si>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</si>
  <si>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</si>
  <si>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</si>
  <si>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</si>
  <si>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</si>
  <si>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</si>
  <si>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</si>
  <si>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</si>
  <si>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</si>
  <si>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</si>
  <si>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</si>
  <si>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</si>
  <si>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</si>
  <si>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</si>
  <si>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</si>
  <si>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</si>
  <si>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</si>
  <si>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</si>
  <si>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</si>
  <si>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</si>
  <si>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</si>
  <si>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</si>
  <si>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</si>
  <si>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</si>
  <si>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</si>
  <si>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</si>
  <si>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</si>
  <si>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</si>
  <si>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</si>
  <si>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</si>
  <si>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</si>
  <si>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</si>
  <si>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</si>
  <si>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</si>
  <si>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</si>
  <si>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</si>
  <si>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</si>
  <si>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</si>
  <si>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</si>
  <si>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</si>
  <si>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</si>
  <si>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</si>
  <si>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</si>
  <si>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</si>
  <si>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</si>
  <si>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</si>
  <si>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</si>
  <si>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</si>
  <si>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</si>
  <si>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</si>
  <si>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</si>
  <si>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</si>
  <si>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</si>
  <si>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</si>
  <si>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</si>
  <si>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</si>
  <si>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</si>
  <si>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</si>
  <si>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</si>
  <si>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</si>
  <si>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</si>
  <si>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</si>
  <si>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</si>
  <si>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</si>
  <si>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</si>
  <si>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</si>
  <si>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</si>
  <si>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</si>
  <si>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</si>
  <si>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</si>
  <si>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</si>
  <si>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</si>
  <si>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</si>
  <si>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</si>
  <si>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</si>
  <si>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</si>
  <si>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</si>
  <si>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</si>
  <si>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</si>
  <si>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</si>
  <si>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</si>
  <si>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</si>
  <si>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</si>
  <si>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</si>
  <si>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</si>
  <si>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</si>
  <si>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</si>
  <si>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</si>
  <si>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</si>
  <si>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</si>
  <si>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</si>
  <si>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</si>
  <si>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</si>
  <si>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</si>
  <si>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</si>
  <si>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</si>
  <si>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</si>
  <si>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</si>
  <si>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</si>
  <si>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</si>
  <si>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</si>
  <si>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</si>
  <si>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</si>
  <si>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</si>
  <si>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</si>
  <si>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</si>
  <si>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</si>
  <si>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</si>
  <si>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</si>
  <si>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</si>
  <si>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</si>
  <si>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</si>
  <si>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</si>
  <si>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</si>
  <si>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</si>
  <si>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</si>
  <si>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</si>
  <si>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</si>
  <si>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</si>
  <si>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</si>
  <si>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</si>
  <si>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</si>
  <si>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</si>
  <si>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</si>
  <si>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</si>
  <si>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</si>
  <si>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</si>
  <si>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</si>
  <si>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</si>
  <si>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</si>
  <si>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</si>
  <si>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</si>
  <si>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</si>
  <si>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</si>
  <si>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</si>
  <si>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</si>
  <si>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</si>
  <si>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</si>
  <si>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</si>
  <si>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</si>
  <si>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</si>
  <si>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</si>
  <si>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</si>
  <si>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</si>
  <si>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</si>
  <si>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</si>
  <si>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</si>
  <si>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</si>
  <si>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</si>
  <si>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</si>
  <si>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</si>
  <si>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</si>
  <si>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</si>
  <si>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</si>
  <si>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</si>
  <si>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</si>
  <si>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</si>
  <si>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</si>
  <si>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</si>
  <si>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</si>
  <si>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</si>
  <si>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</si>
  <si>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</si>
  <si>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</si>
  <si>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</si>
  <si>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</si>
  <si>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</si>
  <si>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</si>
  <si>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</si>
  <si>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</si>
  <si>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</si>
  <si>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</si>
  <si>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</si>
  <si>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</si>
  <si>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</si>
  <si>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</si>
  <si>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</si>
  <si>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</si>
  <si>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</si>
  <si>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</si>
  <si>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</si>
  <si>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</si>
  <si>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</si>
  <si>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</si>
  <si>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</si>
  <si>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</si>
  <si>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</si>
  <si>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</si>
  <si>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</si>
  <si>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</si>
  <si>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</si>
  <si>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</si>
  <si>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</si>
  <si>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</si>
  <si>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</si>
  <si>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</si>
  <si>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</si>
  <si>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</si>
  <si>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</si>
  <si>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</si>
  <si>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</si>
  <si>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</si>
  <si>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</si>
  <si>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</si>
  <si>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</si>
  <si>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</si>
  <si>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</si>
  <si>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</si>
  <si>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</si>
  <si>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</si>
  <si>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</si>
  <si>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</si>
  <si>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</si>
  <si>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</si>
  <si>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</si>
  <si>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</si>
  <si>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</si>
  <si>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</si>
  <si>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</si>
  <si>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</si>
  <si>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</si>
  <si>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</si>
  <si>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</si>
  <si>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</si>
  <si>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</si>
  <si>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</si>
  <si>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</si>
  <si>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</si>
  <si>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</si>
  <si>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</si>
  <si>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</si>
  <si>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</si>
  <si>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</si>
  <si>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</si>
  <si>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</si>
  <si>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</si>
  <si>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</si>
  <si>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</si>
  <si>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</si>
  <si>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</si>
  <si>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</si>
  <si>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</si>
  <si>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</si>
  <si>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</si>
  <si>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</si>
  <si>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</si>
  <si>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</si>
  <si>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</si>
  <si>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</si>
  <si>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</si>
  <si>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</si>
  <si>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</si>
  <si>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</si>
  <si>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</si>
  <si>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</si>
  <si>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</si>
  <si>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</si>
  <si>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</si>
  <si>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</si>
  <si>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</si>
  <si>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</si>
  <si>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</si>
  <si>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</si>
  <si>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</si>
  <si>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</si>
  <si>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</si>
  <si>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</si>
  <si>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</si>
  <si>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</si>
  <si>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</si>
  <si>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</si>
  <si>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</si>
  <si>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</si>
  <si>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</si>
  <si>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</si>
  <si>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</si>
  <si>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</si>
  <si>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</si>
  <si>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</si>
  <si>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</si>
  <si>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</si>
  <si>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</si>
  <si>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</si>
  <si>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</si>
  <si>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</si>
  <si>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</si>
  <si>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</si>
  <si>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</si>
  <si>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</si>
  <si>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</si>
  <si>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</si>
  <si>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</si>
  <si>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</si>
  <si>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</si>
  <si>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</si>
  <si>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</si>
  <si>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</si>
  <si>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</si>
  <si>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</si>
  <si>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</si>
  <si>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</si>
  <si>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</si>
  <si>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</si>
  <si>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</si>
  <si>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</si>
  <si>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</si>
  <si>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</si>
  <si>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</si>
  <si>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</si>
  <si>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</si>
  <si>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</si>
  <si>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</si>
  <si>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</si>
  <si>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</si>
  <si>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</si>
  <si>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</si>
  <si>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</si>
  <si>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</si>
  <si>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</si>
  <si>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</si>
  <si>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</si>
  <si>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</si>
  <si>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</si>
  <si>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</si>
  <si>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</si>
  <si>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</si>
  <si>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</si>
  <si>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</si>
  <si>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</si>
  <si>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</si>
  <si>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</si>
  <si>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</si>
  <si>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</si>
  <si>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</si>
  <si>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</si>
  <si>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</si>
  <si>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</si>
  <si>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</si>
  <si>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</si>
  <si>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</si>
  <si>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</si>
  <si>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</si>
  <si>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</si>
  <si>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</si>
  <si>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</si>
  <si>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</si>
  <si>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</si>
  <si>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</si>
  <si>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</si>
  <si>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</si>
  <si>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</si>
  <si>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</si>
  <si>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</si>
  <si>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</si>
  <si>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</si>
  <si>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</si>
  <si>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</si>
  <si>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</si>
  <si>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</si>
  <si>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</si>
  <si>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</si>
  <si>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</si>
  <si>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</si>
  <si>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</si>
  <si>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</si>
  <si>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</si>
  <si>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</si>
  <si>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</si>
  <si>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</si>
  <si>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</si>
  <si>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</si>
  <si>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</si>
  <si>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</si>
  <si>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</si>
  <si>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</si>
  <si>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</si>
  <si>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</si>
  <si>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</si>
  <si>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</si>
  <si>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</si>
  <si>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</si>
  <si>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</si>
  <si>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</si>
  <si>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</si>
  <si>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</si>
  <si>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</si>
  <si>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</si>
  <si>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</si>
  <si>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</si>
  <si>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</si>
  <si>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</si>
  <si>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</si>
  <si>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</si>
  <si>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</si>
  <si>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</si>
  <si>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</si>
  <si>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</si>
  <si>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</si>
  <si>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</si>
  <si>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</si>
  <si>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</si>
  <si>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</si>
  <si>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</si>
  <si>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</si>
  <si>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</si>
  <si>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</si>
  <si>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</si>
  <si>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</si>
  <si>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</si>
  <si>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</si>
  <si>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</si>
  <si>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</si>
  <si>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</si>
  <si>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</si>
  <si>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</si>
  <si>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</si>
  <si>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</si>
  <si>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</si>
  <si>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</si>
  <si>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</si>
  <si>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</si>
  <si>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</si>
  <si>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</si>
  <si>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</si>
  <si>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</si>
  <si>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</si>
  <si>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</si>
  <si>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</si>
  <si>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</si>
  <si>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</si>
  <si>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</si>
  <si>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</si>
  <si>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</si>
  <si>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</si>
  <si>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</si>
  <si>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</si>
  <si>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</si>
  <si>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</si>
  <si>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</si>
  <si>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</si>
  <si>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</si>
  <si>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</si>
  <si>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</si>
  <si>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</si>
  <si>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</si>
  <si>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</si>
  <si>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</si>
  <si>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</si>
  <si>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</si>
  <si>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</si>
  <si>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</si>
  <si>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</si>
  <si>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</si>
  <si>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</si>
  <si>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</si>
  <si>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</si>
  <si>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</si>
  <si>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</si>
  <si>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</si>
  <si>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</si>
  <si>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</si>
  <si>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</si>
  <si>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</si>
  <si>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</si>
  <si>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</si>
  <si>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</si>
  <si>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</si>
  <si>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</si>
  <si>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</si>
  <si>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</si>
  <si>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</si>
  <si>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</si>
  <si>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</si>
  <si>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</si>
  <si>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</si>
  <si>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</si>
  <si>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</si>
  <si>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</si>
  <si>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</si>
  <si>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</si>
  <si>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</si>
  <si>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</si>
  <si>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</si>
  <si>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</si>
  <si>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</si>
  <si>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</si>
  <si>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</si>
  <si>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</si>
  <si>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</si>
  <si>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</si>
  <si>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</si>
  <si>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</si>
  <si>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</si>
  <si>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</si>
  <si>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</si>
  <si>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</si>
  <si>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</si>
  <si>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</si>
  <si>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</si>
  <si>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</si>
  <si>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</si>
  <si>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</si>
  <si>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</si>
  <si>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</si>
  <si>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</si>
  <si>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</si>
  <si>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</si>
  <si>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</si>
  <si>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</si>
  <si>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</si>
  <si>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</si>
  <si>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</si>
  <si>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</si>
  <si>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</si>
  <si>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</si>
  <si>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</si>
  <si>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</si>
  <si>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</si>
  <si>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</si>
  <si>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</si>
  <si>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</si>
  <si>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</si>
  <si>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</si>
  <si>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</si>
  <si>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</si>
  <si>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</si>
  <si>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</si>
  <si>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</si>
  <si>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</si>
  <si>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</si>
  <si>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</si>
  <si>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</si>
  <si>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</si>
  <si>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</si>
  <si>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</si>
  <si>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</si>
  <si>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</si>
  <si>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</si>
  <si>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</si>
  <si>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</si>
  <si>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</si>
  <si>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</si>
  <si>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</si>
  <si>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</si>
  <si>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</si>
  <si>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</si>
  <si>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</si>
  <si>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</si>
  <si>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</si>
  <si>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</si>
  <si>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</si>
  <si>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</si>
  <si>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</si>
  <si>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</si>
  <si>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</si>
  <si>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</si>
  <si>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</si>
  <si>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</si>
  <si>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</si>
  <si>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</si>
  <si>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</si>
  <si>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</si>
  <si>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</si>
  <si>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</si>
  <si>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</si>
  <si>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</si>
  <si>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</si>
  <si>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</si>
  <si>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</si>
  <si>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</si>
  <si>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</si>
  <si>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</si>
  <si>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</si>
  <si>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</si>
  <si>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</si>
  <si>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</si>
  <si>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</si>
  <si>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</si>
  <si>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</si>
  <si>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</si>
  <si>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</si>
  <si>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</si>
  <si>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</si>
  <si>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</si>
  <si>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</si>
  <si>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</si>
  <si>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</si>
  <si>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</si>
  <si>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</si>
  <si>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</si>
  <si>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</si>
  <si>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</si>
  <si>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</si>
  <si>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</si>
  <si>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</si>
  <si>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</si>
  <si>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</si>
  <si>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</si>
  <si>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</si>
  <si>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</si>
  <si>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</si>
  <si>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</si>
  <si>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</si>
  <si>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</si>
  <si>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</si>
  <si>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</si>
  <si>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</si>
  <si>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</si>
  <si>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</si>
  <si>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</si>
  <si>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</si>
  <si>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</si>
  <si>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</si>
  <si>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</si>
  <si>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</si>
  <si>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</si>
  <si>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</si>
  <si>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</si>
  <si>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</si>
  <si>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</si>
  <si>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</si>
  <si>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</si>
  <si>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</si>
  <si>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</si>
  <si>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</si>
  <si>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</si>
  <si>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</si>
  <si>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</si>
  <si>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</si>
  <si>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</si>
  <si>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</si>
  <si>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</si>
  <si>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</si>
  <si>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</si>
  <si>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</si>
  <si>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</si>
  <si>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</si>
  <si>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</si>
  <si>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</si>
  <si>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</si>
  <si>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</si>
  <si>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</si>
  <si>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</si>
  <si>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</si>
  <si>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</si>
  <si>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</si>
  <si>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</si>
  <si>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</si>
  <si>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</si>
  <si>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</si>
  <si>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</si>
  <si>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</si>
  <si>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</si>
  <si>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</si>
  <si>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</si>
  <si>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</si>
  <si>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</si>
  <si>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</si>
  <si>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</si>
  <si>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</si>
  <si>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</si>
  <si>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</si>
  <si>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</si>
  <si>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</si>
  <si>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</si>
  <si>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</si>
  <si>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</si>
  <si>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</si>
  <si>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</si>
  <si>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</si>
  <si>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</si>
  <si>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</si>
  <si>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</si>
  <si>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</si>
  <si>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</si>
  <si>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</si>
  <si>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</si>
  <si>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</si>
  <si>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</si>
  <si>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</si>
  <si>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</si>
  <si>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</si>
  <si>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</si>
  <si>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</si>
  <si>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</si>
  <si>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</si>
  <si>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</si>
  <si>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</si>
  <si>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</si>
  <si>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</si>
  <si>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</si>
  <si>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</si>
  <si>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</si>
  <si>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</si>
  <si>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</si>
  <si>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</si>
  <si>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</si>
  <si>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</si>
  <si>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</si>
  <si>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</si>
  <si>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</si>
  <si>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</si>
  <si>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</si>
  <si>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</si>
  <si>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</si>
  <si>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</si>
  <si>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</si>
  <si>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</si>
  <si>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</si>
  <si>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</si>
  <si>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</si>
  <si>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</si>
  <si>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</si>
  <si>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</si>
  <si>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</si>
  <si>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</si>
  <si>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</si>
  <si>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</si>
  <si>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</si>
  <si>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</si>
  <si>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</si>
  <si>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</si>
  <si>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</si>
  <si>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</si>
  <si>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</si>
  <si>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</si>
  <si>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</si>
  <si>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</si>
  <si>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</si>
  <si>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</si>
  <si>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</si>
  <si>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</si>
  <si>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</si>
  <si>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</si>
  <si>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</si>
  <si>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</si>
  <si>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</si>
  <si>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</si>
  <si>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</si>
  <si>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</si>
  <si>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</si>
  <si>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</si>
  <si>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</si>
  <si>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</si>
  <si>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</si>
  <si>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</si>
  <si>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</si>
  <si>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</si>
  <si>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</si>
  <si>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</si>
  <si>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</si>
  <si>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</si>
  <si>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</si>
  <si>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</si>
  <si>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</si>
  <si>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</si>
  <si>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</si>
  <si>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</si>
  <si>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</si>
  <si>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</si>
  <si>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</si>
  <si>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</si>
  <si>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</si>
  <si>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</si>
  <si>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</si>
  <si>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</si>
  <si>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</si>
  <si>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</si>
  <si>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</si>
  <si>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</si>
  <si>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</si>
  <si>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</si>
  <si>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</si>
  <si>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</si>
  <si>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</si>
  <si>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</si>
  <si>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</si>
  <si>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</si>
  <si>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</si>
  <si>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</si>
  <si>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</si>
  <si>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</si>
  <si>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</si>
  <si>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</si>
  <si>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</si>
  <si>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</si>
  <si>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</si>
  <si>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</si>
  <si>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</si>
  <si>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</si>
  <si>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</si>
  <si>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</si>
  <si>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</si>
  <si>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</si>
  <si>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</si>
  <si>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</si>
  <si>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</si>
  <si>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</si>
  <si>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</si>
  <si>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</si>
  <si>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</si>
  <si>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</si>
  <si>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</si>
  <si>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</si>
  <si>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</si>
  <si>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</si>
  <si>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</si>
  <si>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</si>
  <si>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</si>
  <si>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</si>
  <si>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</si>
  <si>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</si>
  <si>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</si>
  <si>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</si>
  <si>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</si>
  <si>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</si>
  <si>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</si>
  <si>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</si>
  <si>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</si>
  <si>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</si>
  <si>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</si>
  <si>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</si>
  <si>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</si>
  <si>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</si>
  <si>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</si>
  <si>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</si>
  <si>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</si>
  <si>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</si>
  <si>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</si>
  <si>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</si>
  <si>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</si>
  <si>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</si>
  <si>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</si>
  <si>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</si>
  <si>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</si>
  <si>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</si>
  <si>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</si>
  <si>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</si>
  <si>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</si>
  <si>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</si>
  <si>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</si>
  <si>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</si>
  <si>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</si>
  <si>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</si>
  <si>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</si>
  <si>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</si>
  <si>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</si>
  <si>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</si>
  <si>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</si>
  <si>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</si>
  <si>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</si>
  <si>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</si>
  <si>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</si>
  <si>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</si>
  <si>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</si>
  <si>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</si>
  <si>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</si>
  <si>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</si>
  <si>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</si>
  <si>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</si>
  <si>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</si>
  <si>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</si>
  <si>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</si>
  <si>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</si>
  <si>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</si>
  <si>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</si>
  <si>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</si>
  <si>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</si>
  <si>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</si>
  <si>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</si>
  <si>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</si>
  <si>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</si>
  <si>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</si>
  <si>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</si>
  <si>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</si>
  <si>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</si>
  <si>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</si>
  <si>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</si>
  <si>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</si>
  <si>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</si>
  <si>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</si>
  <si>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</si>
  <si>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</si>
  <si>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</si>
  <si>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</si>
  <si>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</si>
  <si>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</si>
  <si>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</si>
  <si>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</si>
  <si>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</si>
  <si>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</si>
  <si>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</si>
  <si>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</si>
  <si>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</si>
  <si>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</si>
  <si>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</si>
  <si>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</si>
  <si>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</si>
  <si>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</si>
  <si>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</si>
  <si>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</si>
  <si>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</si>
  <si>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</si>
  <si>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</si>
  <si>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</si>
  <si>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</si>
  <si>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</si>
  <si>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</si>
  <si>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</si>
  <si>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</si>
  <si>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</si>
  <si>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</si>
  <si>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</si>
  <si>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</si>
  <si>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</si>
  <si>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</si>
  <si>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</si>
  <si>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</si>
  <si>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</si>
  <si>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</si>
  <si>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</si>
  <si>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</si>
  <si>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</si>
  <si>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</si>
  <si>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</si>
  <si>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</si>
  <si>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</si>
  <si>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</si>
  <si>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</si>
  <si>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</si>
  <si>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</si>
  <si>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</si>
  <si>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</si>
  <si>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</si>
  <si>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</si>
  <si>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</si>
  <si>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</si>
  <si>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</si>
  <si>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</si>
  <si>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</si>
  <si>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</si>
  <si>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</si>
  <si>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</si>
  <si>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</si>
  <si>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</si>
  <si>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</si>
  <si>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</si>
  <si>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</si>
  <si>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</si>
  <si>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</si>
  <si>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</si>
  <si>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</si>
  <si>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</si>
  <si>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</si>
  <si>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</si>
  <si>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</si>
  <si>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</si>
  <si>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</si>
  <si>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</si>
  <si>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</si>
  <si>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</si>
  <si>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</si>
  <si>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</si>
  <si>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</si>
  <si>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</si>
  <si>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</si>
  <si>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</si>
  <si>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</si>
  <si>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</si>
  <si>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</si>
  <si>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</si>
  <si>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</si>
  <si>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</si>
  <si>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</si>
  <si>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</si>
  <si>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</si>
  <si>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</si>
  <si>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</si>
  <si>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</si>
  <si>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</si>
  <si>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</si>
  <si>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</si>
  <si>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</si>
  <si>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</si>
  <si>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</si>
  <si>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</si>
  <si>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</si>
  <si>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</si>
  <si>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</si>
  <si>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</si>
  <si>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</si>
  <si>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</si>
  <si>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</si>
  <si>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</si>
  <si>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</si>
  <si>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</si>
  <si>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</si>
  <si>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</si>
  <si>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</si>
  <si>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</si>
  <si>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</si>
  <si>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</si>
  <si>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</si>
  <si>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</si>
  <si>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</si>
  <si>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</si>
  <si>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</si>
  <si>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</si>
  <si>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</si>
  <si>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</si>
  <si>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</si>
  <si>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</si>
  <si>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</si>
  <si>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</si>
  <si>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</si>
  <si>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</si>
  <si>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</si>
  <si>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</si>
  <si>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</si>
  <si>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</si>
  <si>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</si>
  <si>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</si>
  <si>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</si>
  <si>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</si>
  <si>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</si>
  <si>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</si>
  <si>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</si>
  <si>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</si>
  <si>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</si>
  <si>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</si>
  <si>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</si>
  <si>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</si>
  <si>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</si>
  <si>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</si>
  <si>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</si>
  <si>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</si>
  <si>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</si>
  <si>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</si>
  <si>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</si>
  <si>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</si>
  <si>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</si>
  <si>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</si>
  <si>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</si>
  <si>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</si>
  <si>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</si>
  <si>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</si>
  <si>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</si>
  <si>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</si>
  <si>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</si>
  <si>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</si>
  <si>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</si>
  <si>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</si>
  <si>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</si>
  <si>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</si>
  <si>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</si>
  <si>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</si>
  <si>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</si>
  <si>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</si>
  <si>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</si>
  <si>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</si>
  <si>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</si>
  <si>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</si>
  <si>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</si>
  <si>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</si>
  <si>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</si>
  <si>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</si>
  <si>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</si>
  <si>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</si>
  <si>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</si>
  <si>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</si>
  <si>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</si>
  <si>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</si>
  <si>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</si>
  <si>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</si>
  <si>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</si>
  <si>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</si>
  <si>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</si>
  <si>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</si>
  <si>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</si>
  <si>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</si>
  <si>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</si>
  <si>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</si>
  <si>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</si>
  <si>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</si>
  <si>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</si>
  <si>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</si>
  <si>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</si>
  <si>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</si>
  <si>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</si>
  <si>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</si>
  <si>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</si>
  <si>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</si>
  <si>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</si>
  <si>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</si>
  <si>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</si>
  <si>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</si>
  <si>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</si>
  <si>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</si>
  <si>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</si>
  <si>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</si>
  <si>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</si>
  <si>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</si>
  <si>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</si>
  <si>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</si>
  <si>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</si>
  <si>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</si>
  <si>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</si>
  <si>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</si>
  <si>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</si>
  <si>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</si>
  <si>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</si>
  <si>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</si>
  <si>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</si>
  <si>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</si>
  <si>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</si>
  <si>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</si>
  <si>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</si>
  <si>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</si>
  <si>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</si>
  <si>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</si>
  <si>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</si>
  <si>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</si>
  <si>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</si>
  <si>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</si>
  <si>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</si>
  <si>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</si>
  <si>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</si>
  <si>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</si>
  <si>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</si>
  <si>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</si>
  <si>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</si>
  <si>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</si>
  <si>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</si>
  <si>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</si>
  <si>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</si>
  <si>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</si>
  <si>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</si>
  <si>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</si>
  <si>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</si>
  <si>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</si>
  <si>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</si>
  <si>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</si>
  <si>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</si>
  <si>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</si>
  <si>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</si>
  <si>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</si>
  <si>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</si>
  <si>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</si>
  <si>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</si>
  <si>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</si>
  <si>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</si>
  <si>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</si>
  <si>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</si>
  <si>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</si>
  <si>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</si>
  <si>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</si>
  <si>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</si>
  <si>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</si>
  <si>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</si>
  <si>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</si>
  <si>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</si>
  <si>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</si>
  <si>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</si>
  <si>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</si>
  <si>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</si>
  <si>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</si>
  <si>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</si>
  <si>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</si>
  <si>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</si>
  <si>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</si>
  <si>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</si>
  <si>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</si>
  <si>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</si>
  <si>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</si>
  <si>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</si>
  <si>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</si>
  <si>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</si>
  <si>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</si>
  <si>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</si>
  <si>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</si>
  <si>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</si>
  <si>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</si>
  <si>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</si>
  <si>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</si>
  <si>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</si>
  <si>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</si>
  <si>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</si>
  <si>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</si>
  <si>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</si>
  <si>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</si>
  <si>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</si>
  <si>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</si>
  <si>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</si>
  <si>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</si>
  <si>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</si>
  <si>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</si>
  <si>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</si>
  <si>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</si>
  <si>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</si>
  <si>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</si>
  <si>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</si>
  <si>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</si>
  <si>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</si>
  <si>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</si>
  <si>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</si>
  <si>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</si>
  <si>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</si>
  <si>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</si>
  <si>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</si>
  <si>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</si>
  <si>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</si>
  <si>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</si>
  <si>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</si>
  <si>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</si>
  <si>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</si>
  <si>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</si>
  <si>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</si>
  <si>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</si>
  <si>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</si>
  <si>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</si>
  <si>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</si>
  <si>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</si>
  <si>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</si>
  <si>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</si>
  <si>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</si>
  <si>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</si>
  <si>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</si>
  <si>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</si>
  <si>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</si>
  <si>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</si>
  <si>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</si>
  <si>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</si>
  <si>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</si>
  <si>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</si>
  <si>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</si>
  <si>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</si>
  <si>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</si>
  <si>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</si>
  <si>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</si>
  <si>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</si>
  <si>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</si>
  <si>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</si>
  <si>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</si>
  <si>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</si>
  <si>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</si>
  <si>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</si>
  <si>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</si>
  <si>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</si>
  <si>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</si>
  <si>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</si>
  <si>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</si>
  <si>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</si>
  <si>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</si>
  <si>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</si>
  <si>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</si>
  <si>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</si>
  <si>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</si>
  <si>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</si>
  <si>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</si>
  <si>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</si>
  <si>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</si>
  <si>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</si>
  <si>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</si>
  <si>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</si>
  <si>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</si>
  <si>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</si>
  <si>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</si>
  <si>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</si>
  <si>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</si>
  <si>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</si>
  <si>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</si>
  <si>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</si>
  <si>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</si>
  <si>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</si>
  <si>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</si>
  <si>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</si>
  <si>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</si>
  <si>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</si>
  <si>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</si>
  <si>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</si>
  <si>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</si>
  <si>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</si>
  <si>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</si>
  <si>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</si>
  <si>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</si>
  <si>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</si>
  <si>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</si>
  <si>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</si>
  <si>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</si>
  <si>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</si>
  <si>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</si>
  <si>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</si>
  <si>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</si>
  <si>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</si>
  <si>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</si>
  <si>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</si>
  <si>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</si>
  <si>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</si>
  <si>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</si>
  <si>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</si>
  <si>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</si>
  <si>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</si>
  <si>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</si>
  <si>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</si>
  <si>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</si>
  <si>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</si>
  <si>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</si>
  <si>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</si>
  <si>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</si>
  <si>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</si>
  <si>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</si>
  <si>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</si>
  <si>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</si>
  <si>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</si>
  <si>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</si>
  <si>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</si>
  <si>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</si>
  <si>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</si>
  <si>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</si>
  <si>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</si>
  <si>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</si>
  <si>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</si>
  <si>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</si>
  <si>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</si>
  <si>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</si>
  <si>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</si>
  <si>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</si>
  <si>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</si>
  <si>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</si>
  <si>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</si>
  <si>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</si>
  <si>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</si>
  <si>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</si>
  <si>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</si>
  <si>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</si>
  <si>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</si>
  <si>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</si>
  <si>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</si>
  <si>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</si>
  <si>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</si>
  <si>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</si>
  <si>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</si>
  <si>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</si>
  <si>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</si>
  <si>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</si>
  <si>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</si>
  <si>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</si>
  <si>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</si>
  <si>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</si>
  <si>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</si>
  <si>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</si>
  <si>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</si>
  <si>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</si>
  <si>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</si>
  <si>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</si>
  <si>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</si>
  <si>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</si>
  <si>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</si>
  <si>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</si>
  <si>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</si>
  <si>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</si>
  <si>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</si>
  <si>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</si>
  <si>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</si>
  <si>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</si>
  <si>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</si>
  <si>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</si>
  <si>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</si>
  <si>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</si>
  <si>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</si>
  <si>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</si>
  <si>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</si>
  <si>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</si>
  <si>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</si>
  <si>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</si>
  <si>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</si>
  <si>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</si>
  <si>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</si>
  <si>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</si>
  <si>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</si>
  <si>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</si>
  <si>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</si>
  <si>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</si>
  <si>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</si>
  <si>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</si>
  <si>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</si>
  <si>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</si>
  <si>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</si>
  <si>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</si>
  <si>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</si>
  <si>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</si>
  <si>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</si>
  <si>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</si>
  <si>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</si>
  <si>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</si>
  <si>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</si>
  <si>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</si>
  <si>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</si>
  <si>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</si>
  <si>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</si>
  <si>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</si>
  <si>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</si>
  <si>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</si>
  <si>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</si>
  <si>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</si>
  <si>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</si>
  <si>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</si>
  <si>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</si>
  <si>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</si>
  <si>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</si>
  <si>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</si>
  <si>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</si>
  <si>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</si>
  <si>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</si>
  <si>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</si>
  <si>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</si>
  <si>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</si>
  <si>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</si>
  <si>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</si>
  <si>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</si>
  <si>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</si>
  <si>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</si>
  <si>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</si>
  <si>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</si>
  <si>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</si>
  <si>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</si>
  <si>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</si>
  <si>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</si>
  <si>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</si>
  <si>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</si>
  <si>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</si>
  <si>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</si>
  <si>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</si>
  <si>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</si>
  <si>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</si>
  <si>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</si>
  <si>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</si>
  <si>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</si>
  <si>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</si>
  <si>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</si>
  <si>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</si>
  <si>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</si>
  <si>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</si>
  <si>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</si>
  <si>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</si>
  <si>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</si>
  <si>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</si>
  <si>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</si>
  <si>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</si>
  <si>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</si>
  <si>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</si>
  <si>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</si>
  <si>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</si>
  <si>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</si>
  <si>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</si>
  <si>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</si>
  <si>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</si>
  <si>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</si>
  <si>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</si>
  <si>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</si>
  <si>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</si>
  <si>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</si>
  <si>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</si>
  <si>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</si>
  <si>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</si>
  <si>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</si>
  <si>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</si>
  <si>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</si>
  <si>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</si>
  <si>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</si>
  <si>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</si>
  <si>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</si>
  <si>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</si>
  <si>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</si>
  <si>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</si>
  <si>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</si>
  <si>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</si>
  <si>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</si>
  <si>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</si>
  <si>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</si>
  <si>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</si>
  <si>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</si>
  <si>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</si>
  <si>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</si>
  <si>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</si>
  <si>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</si>
  <si>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</si>
  <si>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</si>
  <si>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</si>
  <si>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</si>
  <si>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</si>
  <si>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</si>
  <si>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</si>
  <si>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</si>
  <si>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</si>
  <si>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</si>
  <si>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</si>
  <si>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</si>
  <si>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</si>
  <si>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</si>
  <si>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</si>
  <si>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</si>
  <si>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</si>
  <si>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</si>
  <si>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</si>
  <si>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</si>
  <si>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</si>
  <si>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</si>
  <si>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</si>
  <si>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</si>
  <si>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</si>
  <si>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</si>
  <si>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</si>
  <si>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</si>
  <si>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</si>
  <si>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</si>
  <si>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</si>
  <si>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</si>
  <si>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</si>
  <si>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</si>
  <si>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</si>
  <si>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</si>
  <si>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</si>
  <si>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</si>
  <si>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</si>
  <si>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</si>
  <si>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</si>
  <si>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</si>
  <si>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</si>
  <si>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</si>
  <si>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</si>
  <si>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</si>
  <si>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</si>
  <si>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</si>
  <si>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</si>
  <si>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</si>
  <si>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</si>
  <si>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</si>
  <si>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</si>
  <si>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</si>
  <si>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</si>
  <si>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</si>
  <si>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</si>
  <si>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</si>
  <si>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</si>
  <si>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</si>
  <si>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</si>
  <si>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</si>
  <si>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</si>
  <si>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</si>
  <si>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</si>
  <si>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</si>
  <si>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</si>
  <si>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</si>
  <si>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</si>
  <si>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</si>
  <si>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</si>
  <si>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</si>
  <si>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</si>
  <si>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</si>
  <si>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</si>
  <si>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</si>
  <si>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</si>
  <si>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</si>
  <si>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</si>
  <si>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</si>
  <si>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</si>
  <si>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</si>
  <si>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</si>
  <si>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</si>
  <si>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</si>
  <si>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</si>
  <si>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</si>
  <si>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</si>
  <si>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</si>
  <si>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</si>
  <si>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</si>
  <si>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</si>
  <si>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</si>
  <si>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</si>
  <si>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</si>
  <si>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</si>
  <si>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</si>
  <si>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</si>
  <si>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</si>
  <si>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</si>
  <si>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</si>
  <si>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</si>
  <si>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</si>
  <si>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</si>
  <si>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</si>
  <si>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</si>
  <si>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</si>
  <si>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</si>
  <si>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</si>
  <si>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</si>
  <si>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</si>
  <si>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</si>
  <si>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</si>
  <si>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</si>
  <si>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</si>
  <si>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</si>
  <si>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</si>
  <si>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</si>
  <si>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</si>
  <si>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</si>
  <si>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</si>
  <si>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</si>
  <si>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</si>
  <si>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</si>
  <si>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</si>
  <si>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</si>
  <si>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</si>
  <si>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</si>
  <si>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</si>
  <si>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</si>
  <si>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</si>
  <si>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</si>
  <si>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</si>
  <si>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</si>
  <si>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</si>
  <si>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</si>
  <si>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</si>
  <si>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</si>
  <si>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</si>
  <si>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</si>
  <si>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</si>
  <si>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</si>
  <si>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</si>
  <si>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</si>
  <si>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</si>
  <si>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</si>
  <si>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</si>
  <si>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</si>
  <si>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</si>
  <si>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</si>
  <si>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</si>
  <si>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</si>
  <si>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</si>
  <si>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</si>
  <si>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</si>
  <si>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</si>
  <si>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</si>
  <si>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</si>
  <si>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</si>
  <si>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</si>
  <si>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</si>
  <si>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</si>
  <si>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</si>
  <si>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</si>
  <si>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</si>
  <si>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</si>
  <si>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</si>
  <si>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</si>
  <si>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</si>
  <si>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</si>
  <si>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</si>
  <si>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</si>
  <si>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</si>
  <si>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</si>
  <si>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</si>
  <si>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</si>
  <si>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</si>
  <si>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</si>
  <si>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</si>
  <si>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</si>
  <si>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</si>
  <si>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</si>
  <si>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</si>
  <si>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</si>
  <si>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</si>
  <si>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</si>
  <si>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</si>
  <si>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</si>
  <si>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</si>
  <si>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</si>
  <si>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</si>
  <si>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</si>
  <si>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</si>
  <si>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</si>
  <si>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</si>
  <si>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</si>
  <si>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</si>
  <si>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</si>
  <si>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</si>
  <si>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</si>
  <si>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</si>
  <si>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</si>
  <si>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</si>
  <si>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</si>
  <si>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</si>
  <si>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</si>
  <si>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</si>
  <si>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</si>
  <si>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</si>
  <si>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</si>
  <si>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</si>
  <si>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</si>
  <si>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</si>
  <si>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</si>
  <si>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</si>
  <si>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</si>
  <si>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</si>
  <si>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</si>
  <si>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</si>
  <si>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</si>
  <si>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</si>
  <si>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</si>
  <si>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</si>
  <si>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</si>
  <si>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</si>
  <si>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</si>
  <si>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</si>
  <si>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</si>
  <si>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</si>
  <si>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</si>
  <si>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</si>
  <si>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</si>
  <si>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</si>
  <si>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</si>
  <si>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</si>
  <si>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</si>
  <si>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</si>
  <si>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</si>
  <si>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</si>
  <si>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</si>
  <si>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</si>
  <si>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</si>
  <si>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</si>
  <si>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</si>
  <si>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</si>
  <si>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</si>
  <si>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</si>
  <si>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</si>
  <si>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</si>
  <si>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</si>
  <si>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</si>
  <si>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</si>
  <si>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</si>
  <si>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</si>
  <si>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</si>
  <si>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</si>
  <si>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</si>
  <si>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</si>
  <si>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</si>
  <si>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</si>
  <si>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</si>
  <si>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</si>
  <si>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</si>
  <si>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</si>
  <si>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</si>
  <si>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</si>
  <si>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</si>
  <si>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</si>
  <si>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</si>
  <si>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</si>
  <si>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</si>
  <si>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</si>
  <si>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</si>
  <si>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</si>
  <si>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</si>
  <si>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</si>
  <si>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</si>
  <si>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</si>
  <si>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</si>
  <si>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</si>
  <si>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</si>
  <si>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</si>
  <si>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</si>
  <si>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</si>
  <si>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</si>
  <si>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</si>
  <si>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</si>
  <si>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</si>
  <si>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</si>
  <si>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</si>
  <si>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</si>
  <si>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</si>
  <si>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</si>
  <si>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</si>
  <si>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</si>
  <si>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</si>
  <si>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</si>
  <si>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</si>
  <si>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</si>
  <si>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</si>
  <si>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</si>
  <si>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</si>
  <si>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</si>
  <si>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</si>
  <si>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</si>
  <si>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</si>
  <si>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</si>
  <si>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</si>
  <si>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</si>
  <si>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</si>
  <si>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</si>
  <si>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</si>
  <si>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</si>
  <si>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</si>
  <si>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</si>
  <si>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</si>
  <si>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</si>
  <si>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</si>
  <si>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</si>
  <si>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</si>
  <si>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</si>
  <si>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</si>
  <si>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</si>
  <si>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</si>
  <si>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</si>
  <si>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</si>
  <si>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</si>
  <si>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</si>
  <si>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</si>
  <si>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</si>
  <si>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</si>
  <si>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</si>
  <si>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</si>
  <si>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</si>
  <si>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</si>
  <si>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</si>
  <si>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</si>
  <si>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</si>
  <si>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</si>
  <si>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</si>
  <si>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</si>
  <si>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</si>
  <si>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</si>
  <si>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</si>
  <si>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</si>
  <si>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</si>
  <si>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</si>
  <si>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</si>
  <si>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</si>
  <si>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</si>
  <si>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</si>
  <si>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</si>
  <si>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</si>
  <si>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</si>
  <si>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</si>
  <si>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</si>
  <si>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</si>
  <si>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</si>
  <si>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</si>
  <si>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</si>
  <si>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</si>
  <si>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</si>
  <si>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</si>
  <si>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</si>
  <si>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</si>
  <si>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</si>
  <si>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</si>
  <si>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</si>
  <si>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</si>
  <si>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</si>
  <si>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</si>
  <si>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</si>
  <si>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</si>
  <si>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</si>
  <si>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</si>
  <si>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</si>
  <si>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</si>
  <si>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</si>
  <si>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</si>
  <si>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</si>
  <si>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</si>
  <si>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</si>
  <si>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</si>
  <si>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</si>
  <si>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</si>
  <si>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</si>
  <si>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</si>
  <si>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</si>
  <si>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</si>
  <si>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</si>
  <si>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</si>
  <si>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</si>
  <si>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</si>
  <si>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</si>
  <si>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</si>
  <si>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</si>
  <si>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</si>
  <si>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</si>
  <si>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</si>
  <si>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</si>
  <si>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</si>
  <si>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</si>
  <si>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</si>
  <si>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</si>
  <si>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</si>
  <si>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</si>
  <si>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</si>
  <si>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</si>
  <si>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</si>
  <si>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</si>
  <si>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</si>
  <si>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</si>
  <si>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</si>
  <si>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</si>
  <si>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</si>
  <si>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</si>
  <si>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</si>
  <si>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</si>
  <si>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</si>
  <si>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</si>
  <si>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</si>
  <si>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</si>
  <si>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</si>
  <si>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</si>
  <si>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</si>
  <si>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</si>
  <si>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</si>
  <si>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</si>
  <si>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</si>
  <si>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</si>
  <si>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</si>
  <si>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</si>
  <si>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</si>
  <si>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</si>
  <si>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</si>
  <si>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</si>
  <si>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</si>
  <si>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</si>
  <si>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</si>
  <si>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</si>
  <si>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</si>
  <si>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</si>
  <si>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</si>
  <si>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</si>
  <si>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</si>
  <si>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</si>
  <si>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</si>
  <si>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</si>
  <si>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</si>
  <si>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</si>
  <si>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</si>
  <si>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</si>
  <si>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</si>
  <si>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</si>
  <si>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</si>
  <si>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</si>
  <si>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</si>
  <si>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</si>
  <si>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</si>
  <si>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</si>
  <si>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</si>
  <si>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</si>
  <si>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</si>
  <si>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</si>
  <si>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</si>
  <si>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</si>
  <si>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</si>
  <si>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</si>
  <si>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</si>
  <si>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</si>
  <si>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</si>
  <si>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</si>
  <si>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</si>
  <si>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</si>
  <si>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</si>
  <si>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</si>
  <si>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</si>
  <si>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</si>
  <si>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</si>
  <si>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</si>
  <si>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</si>
  <si>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</si>
  <si>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</si>
  <si>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</si>
  <si>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</si>
  <si>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</si>
  <si>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</si>
  <si>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</si>
  <si>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</si>
  <si>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</si>
  <si>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</si>
  <si>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</si>
  <si>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</si>
  <si>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</si>
  <si>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</si>
  <si>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</si>
  <si>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</si>
  <si>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</si>
  <si>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</si>
  <si>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</si>
  <si>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</si>
  <si>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</si>
  <si>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</si>
  <si>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</si>
  <si>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</si>
  <si>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</si>
  <si>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</si>
  <si>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</si>
  <si>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</si>
  <si>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</si>
  <si>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</si>
  <si>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</si>
  <si>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</si>
  <si>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</si>
  <si>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</si>
  <si>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</si>
  <si>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</si>
  <si>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</si>
  <si>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</si>
  <si>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</si>
  <si>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</si>
  <si>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</si>
  <si>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</si>
  <si>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</si>
  <si>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</si>
  <si>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</si>
  <si>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</si>
  <si>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</si>
  <si>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</si>
  <si>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</si>
  <si>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</si>
  <si>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</si>
  <si>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</si>
  <si>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</si>
  <si>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</si>
  <si>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</si>
  <si>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</si>
  <si>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</si>
  <si>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</si>
  <si>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</si>
  <si>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</si>
  <si>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</si>
  <si>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</si>
  <si>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</si>
  <si>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</si>
  <si>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</si>
  <si>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</si>
  <si>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</si>
  <si>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</si>
  <si>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</si>
  <si>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</si>
  <si>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</si>
  <si>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</si>
  <si>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</si>
  <si>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</si>
  <si>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</si>
  <si>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</si>
  <si>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</si>
  <si>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</si>
  <si>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</si>
  <si>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</si>
  <si>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</si>
  <si>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</si>
  <si>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</si>
  <si>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</si>
  <si>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</si>
  <si>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</si>
  <si>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</si>
  <si>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</si>
  <si>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</si>
  <si>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</si>
  <si>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</si>
  <si>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</si>
  <si>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</si>
  <si>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</si>
  <si>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</si>
  <si>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</si>
  <si>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</si>
  <si>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</si>
  <si>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</si>
  <si>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</si>
  <si>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</si>
  <si>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</si>
  <si>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</si>
  <si>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</si>
  <si>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</si>
  <si>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</si>
  <si>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</si>
  <si>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</si>
  <si>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</si>
  <si>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</si>
  <si>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</si>
  <si>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</si>
  <si>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</si>
  <si>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</si>
  <si>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</si>
  <si>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</si>
  <si>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</si>
  <si>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</si>
  <si>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</si>
  <si>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</si>
  <si>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</si>
  <si>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</si>
  <si>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</si>
  <si>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</si>
  <si>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</si>
  <si>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</si>
  <si>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</si>
  <si>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</si>
  <si>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</si>
  <si>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</si>
  <si>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</si>
  <si>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</si>
  <si>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</si>
  <si>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</si>
  <si>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</si>
  <si>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</si>
  <si>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</si>
  <si>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</si>
  <si>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</si>
  <si>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</si>
  <si>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</si>
  <si>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</si>
  <si>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</si>
  <si>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</si>
  <si>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</si>
  <si>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</si>
  <si>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</si>
  <si>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</si>
  <si>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</si>
  <si>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</si>
  <si>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</si>
  <si>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</si>
  <si>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</si>
  <si>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</si>
  <si>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</si>
  <si>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</si>
  <si>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</si>
  <si>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</si>
  <si>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</si>
  <si>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</si>
  <si>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</si>
  <si>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</si>
  <si>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</si>
  <si>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</si>
  <si>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</si>
  <si>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</si>
  <si>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</si>
  <si>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</si>
  <si>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</si>
  <si>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</si>
  <si>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</si>
  <si>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</si>
  <si>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</si>
  <si>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</si>
  <si>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</si>
  <si>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</si>
  <si>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</si>
  <si>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</si>
  <si>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</si>
  <si>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</si>
  <si>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</si>
  <si>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</si>
  <si>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</si>
  <si>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</si>
  <si>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</si>
  <si>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</si>
  <si>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</si>
  <si>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</si>
  <si>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</si>
  <si>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</si>
  <si>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</si>
  <si>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</si>
  <si>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</si>
  <si>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</si>
  <si>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</si>
  <si>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</si>
  <si>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</si>
  <si>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</si>
  <si>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</si>
  <si>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</si>
  <si>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</si>
  <si>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</si>
  <si>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</si>
  <si>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</si>
  <si>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</si>
  <si>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</si>
  <si>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</si>
  <si>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</si>
  <si>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</si>
  <si>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</si>
  <si>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</si>
  <si>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</si>
  <si>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</si>
  <si>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</si>
  <si>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</si>
  <si>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</si>
  <si>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</si>
  <si>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</si>
  <si>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</si>
  <si>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</si>
  <si>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</si>
  <si>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</si>
  <si>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</si>
  <si>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</si>
  <si>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</si>
  <si>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</si>
  <si>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</si>
  <si>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</si>
  <si>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</si>
  <si>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</si>
  <si>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</si>
  <si>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</si>
  <si>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</si>
  <si>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</si>
  <si>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</si>
  <si>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</si>
  <si>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</si>
  <si>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</si>
  <si>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</si>
  <si>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</si>
  <si>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</si>
  <si>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</si>
  <si>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</si>
  <si>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</si>
  <si>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</si>
  <si>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</si>
  <si>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</si>
  <si>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</si>
  <si>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</si>
  <si>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</si>
  <si>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</si>
  <si>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</si>
  <si>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</si>
  <si>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</si>
  <si>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</si>
  <si>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</si>
  <si>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</si>
  <si>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</si>
  <si>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</si>
  <si>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</si>
  <si>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</si>
  <si>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</si>
  <si>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</si>
  <si>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</si>
  <si>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</si>
  <si>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</si>
  <si>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</si>
  <si>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</si>
  <si>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</si>
  <si>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</si>
  <si>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</si>
  <si>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</si>
  <si>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</si>
  <si>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</si>
  <si>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</si>
  <si>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</si>
  <si>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</si>
  <si>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</si>
  <si>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</si>
  <si>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</si>
  <si>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</si>
  <si>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</si>
  <si>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</si>
  <si>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</si>
  <si>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</si>
  <si>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</si>
  <si>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</si>
  <si>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</si>
  <si>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</si>
  <si>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</si>
  <si>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</si>
  <si>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</si>
  <si>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</si>
  <si>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</si>
  <si>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</si>
  <si>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</si>
  <si>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</si>
  <si>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</si>
  <si>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</si>
  <si>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</si>
  <si>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</si>
  <si>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</si>
  <si>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</si>
  <si>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</si>
  <si>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</si>
  <si>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</si>
  <si>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</si>
  <si>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</si>
  <si>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</si>
  <si>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</si>
  <si>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</si>
  <si>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</si>
  <si>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</si>
  <si>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</si>
  <si>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</si>
  <si>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</si>
  <si>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</si>
  <si>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</si>
  <si>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</si>
  <si>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</si>
  <si>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</si>
  <si>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</si>
  <si>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</si>
  <si>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</si>
  <si>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</si>
  <si>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</si>
  <si>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</si>
  <si>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</si>
  <si>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</si>
  <si>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</si>
  <si>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</si>
  <si>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</si>
  <si>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</si>
  <si>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</si>
  <si>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</si>
  <si>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</si>
  <si>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</si>
  <si>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</si>
  <si>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</si>
  <si>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</si>
  <si>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</si>
  <si>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</si>
  <si>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</si>
  <si>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</si>
  <si>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</si>
  <si>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</si>
  <si>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</si>
  <si>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</si>
  <si>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</si>
  <si>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</si>
  <si>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</si>
  <si>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</si>
  <si>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</si>
  <si>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</si>
  <si>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</si>
  <si>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</si>
  <si>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</si>
  <si>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</si>
  <si>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</si>
  <si>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</si>
  <si>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</si>
  <si>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</si>
  <si>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</si>
  <si>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</si>
  <si>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</si>
  <si>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</si>
  <si>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</si>
  <si>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</si>
  <si>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</si>
  <si>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</si>
  <si>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</si>
  <si>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</si>
  <si>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</si>
  <si>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</si>
  <si>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</si>
  <si>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</si>
  <si>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</si>
  <si>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</si>
  <si>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</si>
  <si>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</si>
  <si>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</si>
  <si>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</si>
  <si>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</si>
  <si>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</si>
  <si>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</si>
  <si>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</si>
  <si>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</si>
  <si>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</si>
  <si>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</si>
  <si>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</si>
  <si>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</si>
  <si>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</si>
  <si>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</si>
  <si>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</si>
  <si>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</si>
  <si>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</si>
  <si>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</si>
  <si>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</si>
  <si>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</si>
  <si>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</si>
  <si>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</si>
  <si>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</si>
  <si>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</si>
  <si>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</si>
  <si>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</si>
  <si>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</si>
  <si>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</si>
  <si>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</si>
  <si>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</si>
  <si>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</si>
  <si>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</si>
  <si>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</si>
  <si>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</si>
  <si>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</si>
  <si>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</si>
  <si>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</si>
  <si>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</si>
  <si>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</si>
  <si>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</si>
  <si>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</si>
  <si>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</si>
  <si>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</si>
  <si>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</si>
  <si>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</si>
  <si>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</si>
  <si>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</si>
  <si>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</si>
  <si>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</si>
  <si>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</si>
  <si>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</si>
  <si>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</si>
  <si>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</si>
  <si>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</si>
  <si>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</si>
  <si>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</si>
  <si>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</si>
  <si>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</si>
  <si>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</si>
  <si>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</si>
  <si>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</si>
  <si>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</si>
  <si>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</si>
  <si>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</si>
  <si>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</si>
  <si>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</si>
  <si>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</si>
  <si>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</si>
  <si>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</si>
  <si>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</si>
  <si>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</si>
  <si>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</si>
  <si>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</si>
  <si>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</si>
  <si>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</si>
  <si>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</si>
  <si>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</si>
  <si>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</si>
  <si>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</si>
  <si>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</si>
  <si>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</si>
  <si>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</si>
  <si>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</si>
  <si>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</si>
  <si>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</si>
  <si>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</si>
  <si>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</si>
  <si>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</si>
  <si>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</si>
  <si>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</si>
  <si>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</si>
  <si>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</si>
  <si>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</si>
  <si>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</si>
  <si>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</si>
  <si>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</si>
  <si>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</si>
  <si>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</si>
  <si>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</si>
  <si>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</si>
  <si>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</si>
  <si>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</si>
  <si>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</si>
  <si>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</si>
  <si>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</si>
  <si>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</si>
  <si>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</si>
  <si>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</si>
  <si>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</si>
  <si>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</si>
  <si>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</si>
  <si>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</si>
  <si>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</si>
  <si>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</si>
  <si>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</si>
  <si>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</si>
  <si>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</si>
  <si>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</si>
  <si>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</si>
  <si>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</si>
  <si>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</si>
  <si>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</si>
  <si>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</si>
  <si>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</si>
  <si>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</si>
  <si>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</si>
  <si>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</si>
  <si>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</si>
  <si>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</si>
  <si>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</si>
  <si>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</si>
  <si>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</si>
  <si>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</si>
  <si>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</si>
  <si>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</si>
  <si>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</si>
  <si>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</si>
  <si>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</si>
  <si>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</si>
  <si>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</si>
  <si>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</si>
  <si>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</si>
  <si>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</si>
  <si>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</si>
  <si>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</si>
  <si>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</si>
  <si>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</si>
  <si>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</si>
  <si>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</si>
  <si>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</si>
  <si>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</si>
  <si>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</si>
  <si>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</si>
  <si>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</si>
  <si>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</si>
  <si>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</si>
  <si>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</si>
  <si>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</si>
  <si>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</si>
  <si>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</si>
  <si>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</si>
  <si>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</si>
  <si>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</si>
  <si>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</si>
  <si>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</si>
  <si>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</si>
  <si>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</si>
  <si>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</si>
  <si>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</si>
  <si>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</si>
  <si>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</si>
  <si>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</si>
  <si>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</si>
  <si>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</si>
  <si>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</si>
  <si>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</si>
  <si>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</si>
  <si>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</si>
  <si>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</si>
  <si>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</si>
  <si>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</si>
  <si>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</si>
  <si>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</si>
  <si>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</si>
  <si>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</si>
  <si>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</si>
  <si>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</si>
  <si>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</si>
  <si>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</si>
  <si>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</si>
  <si>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</si>
  <si>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</si>
  <si>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</si>
  <si>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</si>
  <si>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</si>
  <si>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</si>
  <si>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</si>
  <si>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</si>
  <si>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</si>
  <si>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</si>
  <si>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</si>
  <si>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</si>
  <si>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</si>
  <si>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</si>
  <si>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</si>
  <si>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</si>
  <si>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</si>
  <si>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</si>
  <si>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</si>
  <si>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</si>
  <si>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</si>
  <si>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</si>
  <si>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</si>
  <si>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</si>
  <si>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</si>
  <si>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</si>
  <si>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</si>
  <si>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</si>
  <si>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</si>
  <si>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</si>
  <si>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</si>
  <si>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</si>
  <si>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</si>
  <si>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</si>
  <si>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</si>
  <si>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</si>
  <si>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</si>
  <si>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</si>
  <si>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</si>
  <si>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</si>
  <si>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</si>
  <si>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</si>
  <si>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</si>
  <si>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</si>
  <si>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</si>
  <si>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</si>
  <si>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</si>
  <si>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</si>
  <si>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</si>
  <si>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</si>
  <si>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</si>
  <si>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</si>
  <si>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</si>
  <si>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</si>
  <si>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</si>
  <si>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</si>
  <si>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</si>
  <si>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</si>
  <si>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</si>
  <si>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</si>
  <si>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</si>
  <si>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</si>
  <si>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</si>
  <si>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</si>
  <si>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</si>
  <si>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</si>
  <si>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</si>
  <si>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</si>
  <si>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</si>
  <si>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</si>
  <si>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</si>
  <si>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</si>
  <si>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</si>
  <si>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</si>
  <si>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</si>
  <si>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</si>
  <si>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</si>
  <si>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</si>
  <si>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</si>
  <si>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</si>
  <si>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</si>
  <si>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</si>
  <si>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</si>
  <si>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</si>
  <si>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</si>
  <si>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</si>
  <si>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</si>
  <si>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</si>
  <si>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</si>
  <si>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</si>
  <si>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</si>
  <si>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</si>
  <si>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</si>
  <si>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</si>
  <si>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</si>
  <si>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</si>
  <si>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</si>
  <si>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</si>
  <si>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</si>
  <si>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</si>
  <si>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</si>
  <si>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</si>
  <si>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</si>
  <si>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</si>
  <si>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</si>
  <si>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</si>
  <si>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</si>
  <si>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</si>
  <si>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</si>
  <si>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</si>
  <si>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</si>
  <si>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</si>
  <si>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</si>
  <si>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</si>
  <si>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</si>
  <si>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</si>
  <si>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</si>
  <si>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</si>
  <si>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</si>
  <si>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</si>
  <si>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</si>
  <si>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</si>
  <si>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</si>
  <si>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</si>
  <si>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</si>
  <si>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</si>
  <si>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</si>
  <si>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</si>
  <si>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</si>
  <si>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</si>
  <si>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</si>
  <si>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</si>
  <si>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</si>
  <si>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</si>
  <si>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</si>
  <si>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</si>
  <si>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</si>
  <si>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</si>
  <si>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</si>
  <si>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</si>
  <si>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</si>
  <si>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</si>
  <si>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</si>
  <si>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</si>
  <si>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</si>
  <si>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</si>
  <si>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</si>
  <si>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</si>
  <si>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</si>
  <si>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</si>
  <si>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</si>
  <si>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</si>
  <si>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</si>
  <si>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</si>
  <si>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</si>
  <si>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</si>
  <si>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</si>
  <si>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</si>
  <si>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</si>
  <si>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</si>
  <si>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</si>
  <si>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</si>
  <si>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</si>
  <si>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</si>
  <si>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</si>
  <si>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</si>
  <si>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</si>
  <si>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</si>
  <si>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</si>
  <si>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</si>
  <si>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</si>
  <si>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</si>
  <si>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</si>
  <si>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</si>
  <si>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</si>
  <si>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</si>
  <si>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</si>
  <si>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</si>
  <si>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</si>
  <si>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</si>
  <si>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</si>
  <si>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</si>
  <si>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</si>
  <si>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</si>
  <si>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</si>
  <si>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</si>
  <si>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</si>
  <si>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</si>
  <si>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</si>
  <si>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</si>
  <si>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</si>
  <si>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</si>
  <si>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</si>
  <si>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</si>
  <si>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</si>
  <si>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</si>
  <si>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</si>
  <si>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</si>
  <si>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</si>
  <si>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</si>
  <si>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</si>
  <si>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</si>
  <si>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</si>
  <si>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</si>
  <si>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</si>
  <si>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</si>
  <si>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</si>
  <si>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</si>
  <si>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</si>
  <si>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</si>
  <si>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</si>
  <si>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</si>
  <si>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</si>
  <si>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</si>
  <si>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</si>
  <si>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</si>
  <si>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</si>
  <si>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</si>
  <si>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</si>
  <si>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</si>
  <si>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</si>
  <si>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</si>
  <si>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</si>
  <si>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</si>
  <si>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</si>
  <si>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</si>
  <si>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</si>
  <si>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</si>
  <si>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</si>
  <si>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</si>
  <si>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</si>
  <si>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</si>
  <si>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</si>
  <si>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</si>
  <si>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</si>
  <si>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</si>
  <si>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</si>
  <si>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</si>
  <si>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</si>
  <si>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</si>
  <si>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</si>
  <si>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</si>
  <si>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</si>
  <si>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</si>
  <si>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</si>
  <si>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</si>
  <si>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</si>
  <si>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</si>
  <si>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</si>
  <si>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</si>
  <si>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</si>
  <si>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</si>
  <si>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</si>
  <si>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</si>
  <si>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</si>
  <si>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</si>
  <si>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</si>
  <si>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</si>
  <si>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</si>
  <si>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</si>
  <si>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</si>
  <si>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</si>
  <si>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</si>
  <si>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</si>
  <si>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</si>
  <si>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</si>
  <si>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</si>
  <si>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</si>
  <si>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</si>
  <si>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</si>
  <si>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</si>
  <si>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</si>
  <si>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</si>
  <si>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</si>
  <si>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</si>
  <si>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</si>
  <si>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</si>
  <si>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</si>
  <si>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</si>
  <si>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</si>
  <si>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</si>
  <si>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</si>
  <si>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</si>
  <si>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</si>
  <si>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</si>
  <si>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</si>
  <si>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</si>
  <si>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</si>
  <si>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</si>
  <si>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</si>
  <si>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</si>
  <si>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</si>
  <si>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</si>
  <si>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</si>
  <si>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</si>
  <si>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</si>
  <si>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</si>
  <si>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</si>
  <si>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</si>
  <si>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</si>
  <si>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</si>
  <si>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</si>
  <si>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</si>
  <si>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</si>
  <si>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</si>
  <si>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</si>
  <si>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</si>
  <si>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</si>
  <si>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</si>
  <si>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</si>
  <si>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</si>
  <si>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</si>
  <si>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</si>
  <si>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</si>
  <si>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</si>
  <si>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</si>
  <si>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</si>
  <si>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</si>
  <si>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</si>
  <si>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</si>
  <si>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</si>
  <si>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</si>
  <si>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</si>
  <si>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</si>
  <si>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</si>
  <si>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</si>
  <si>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</si>
  <si>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</si>
  <si>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</si>
  <si>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</si>
  <si>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</si>
  <si>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</si>
  <si>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</si>
  <si>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</si>
  <si>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</si>
  <si>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</si>
  <si>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</si>
  <si>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</si>
  <si>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</si>
  <si>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</si>
  <si>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</si>
  <si>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</si>
  <si>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</si>
  <si>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</si>
  <si>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</si>
  <si>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</si>
  <si>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</si>
  <si>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</si>
  <si>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</si>
  <si>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</si>
  <si>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</si>
  <si>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</si>
  <si>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</si>
  <si>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</si>
  <si>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</si>
  <si>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</si>
  <si>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</si>
  <si>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</si>
  <si>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</si>
  <si>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</si>
  <si>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</si>
  <si>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</si>
  <si>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</si>
  <si>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</si>
  <si>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</si>
  <si>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</si>
  <si>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</si>
  <si>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</si>
  <si>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</si>
  <si>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</si>
  <si>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</si>
  <si>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</si>
  <si>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</si>
  <si>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</si>
  <si>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</si>
  <si>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</si>
  <si>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</si>
  <si>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</si>
  <si>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</si>
  <si>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</si>
  <si>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</si>
  <si>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</si>
  <si>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</si>
  <si>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</si>
  <si>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</si>
  <si>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</si>
  <si>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</si>
  <si>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</si>
  <si>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</si>
  <si>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</si>
  <si>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</si>
  <si>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</si>
  <si>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</si>
  <si>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</si>
  <si>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</si>
  <si>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</si>
  <si>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</si>
  <si>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</si>
  <si>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</si>
  <si>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</si>
  <si>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</si>
  <si>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</si>
  <si>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</si>
  <si>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</si>
  <si>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</si>
  <si>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</si>
  <si>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</si>
  <si>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</si>
  <si>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</si>
  <si>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</si>
  <si>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</si>
  <si>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</si>
  <si>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</si>
  <si>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</si>
  <si>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</si>
  <si>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</si>
  <si>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</si>
  <si>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</si>
  <si>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</si>
  <si>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</si>
  <si>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</si>
  <si>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</si>
  <si>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</si>
  <si>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</si>
  <si>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</si>
  <si>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</si>
  <si>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</si>
  <si>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</si>
  <si>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</si>
  <si>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</si>
  <si>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</si>
  <si>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</si>
  <si>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</si>
  <si>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</si>
  <si>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</si>
  <si>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</si>
  <si>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</si>
  <si>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</si>
  <si>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</si>
  <si>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</si>
  <si>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</si>
  <si>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</si>
  <si>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</si>
  <si>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</si>
  <si>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</si>
  <si>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</si>
  <si>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</si>
  <si>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</si>
  <si>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</si>
  <si>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</si>
  <si>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</si>
  <si>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</si>
  <si>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</si>
  <si>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</si>
  <si>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</si>
  <si>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</si>
  <si>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</si>
  <si>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</si>
  <si>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</si>
  <si>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</si>
  <si>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</si>
  <si>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</si>
  <si>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</si>
  <si>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</si>
  <si>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</si>
  <si>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</si>
  <si>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</si>
  <si>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</si>
  <si>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</si>
  <si>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</si>
  <si>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</si>
  <si>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</si>
  <si>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</si>
  <si>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</si>
  <si>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</si>
  <si>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</si>
  <si>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</si>
  <si>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</si>
  <si>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</si>
  <si>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</si>
  <si>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</si>
  <si>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</si>
  <si>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</si>
  <si>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</si>
  <si>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</si>
  <si>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</si>
  <si>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</si>
  <si>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</si>
  <si>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</si>
  <si>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</si>
  <si>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</si>
  <si>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</si>
  <si>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</si>
  <si>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</si>
  <si>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</si>
  <si>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</si>
  <si>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</si>
  <si>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</si>
  <si>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</si>
  <si>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</si>
  <si>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</si>
  <si>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</si>
  <si>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</si>
  <si>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</si>
  <si>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</si>
  <si>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</si>
  <si>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</si>
  <si>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</si>
  <si>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</si>
  <si>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</si>
  <si>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</si>
  <si>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</si>
  <si>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</si>
  <si>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</si>
  <si>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</si>
  <si>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</si>
  <si>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</si>
  <si>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</si>
  <si>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</si>
  <si>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</si>
  <si>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</si>
  <si>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</si>
  <si>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</si>
  <si>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</si>
  <si>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</si>
  <si>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</si>
  <si>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</si>
  <si>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</si>
  <si>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</si>
  <si>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</si>
  <si>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</si>
  <si>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</si>
  <si>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</si>
  <si>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</si>
  <si>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</si>
  <si>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</si>
  <si>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</si>
  <si>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</si>
  <si>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</si>
  <si>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</si>
  <si>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</si>
  <si>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</si>
  <si>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</si>
  <si>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</si>
  <si>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</si>
  <si>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</si>
  <si>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</si>
  <si>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</si>
  <si>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</si>
  <si>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</si>
  <si>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</si>
  <si>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</si>
  <si>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</si>
  <si>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</si>
  <si>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</si>
  <si>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</si>
  <si>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</si>
  <si>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</si>
  <si>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</si>
  <si>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</si>
  <si>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</si>
  <si>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</si>
  <si>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</si>
  <si>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</si>
  <si>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</si>
  <si>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</si>
  <si>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</si>
  <si>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</si>
  <si>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</si>
  <si>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</si>
  <si>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</si>
  <si>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</si>
  <si>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</si>
  <si>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</si>
  <si>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</si>
  <si>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</si>
  <si>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</si>
  <si>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</si>
  <si>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</si>
  <si>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</si>
  <si>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</si>
  <si>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</si>
  <si>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</si>
  <si>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</si>
  <si>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</si>
  <si>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</si>
  <si>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</si>
  <si>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</si>
  <si>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</si>
  <si>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</si>
  <si>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</si>
  <si>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</si>
  <si>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</si>
  <si>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</si>
  <si>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</si>
  <si>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</si>
  <si>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</si>
  <si>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</si>
  <si>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</si>
  <si>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</si>
  <si>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</si>
  <si>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</si>
  <si>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</si>
  <si>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</si>
  <si>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</si>
  <si>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</si>
  <si>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</si>
  <si>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</si>
  <si>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</si>
  <si>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</si>
  <si>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</si>
  <si>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</si>
  <si>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</si>
  <si>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</si>
  <si>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</si>
  <si>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</si>
  <si>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</si>
  <si>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</si>
  <si>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</si>
  <si>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</si>
  <si>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</si>
  <si>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</si>
  <si>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</si>
  <si>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</si>
  <si>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</si>
  <si>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</si>
  <si>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</si>
  <si>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</si>
  <si>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</si>
  <si>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</si>
  <si>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</si>
  <si>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</si>
  <si>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</si>
  <si>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</si>
  <si>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</si>
  <si>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</si>
  <si>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</si>
  <si>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</si>
  <si>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</si>
  <si>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</si>
  <si>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</si>
  <si>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</si>
  <si>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</si>
  <si>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</si>
  <si>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</si>
  <si>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</si>
  <si>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</si>
  <si>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</si>
  <si>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</si>
  <si>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</si>
  <si>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</si>
  <si>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</si>
  <si>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</si>
  <si>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</si>
  <si>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</si>
  <si>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</si>
  <si>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</si>
  <si>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</si>
  <si>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</si>
  <si>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</si>
  <si>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</si>
  <si>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</si>
  <si>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</si>
  <si>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</si>
  <si>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</si>
  <si>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</si>
  <si>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</si>
  <si>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</si>
  <si>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</si>
  <si>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</si>
  <si>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</si>
  <si>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</si>
  <si>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</si>
  <si>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</si>
  <si>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</si>
  <si>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</si>
  <si>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</si>
  <si>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</si>
  <si>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</si>
  <si>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</si>
  <si>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</si>
  <si>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</si>
  <si>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</si>
  <si>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</si>
  <si>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</si>
  <si>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</si>
  <si>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</si>
  <si>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</si>
  <si>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</si>
  <si>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</si>
  <si>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</si>
  <si>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</si>
  <si>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</si>
  <si>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</si>
  <si>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</si>
  <si>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</si>
  <si>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</si>
  <si>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</si>
  <si>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</si>
  <si>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</si>
  <si>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</si>
  <si>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</si>
  <si>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</si>
  <si>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</si>
  <si>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</si>
  <si>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</si>
  <si>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</si>
  <si>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</si>
  <si>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</si>
  <si>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</si>
  <si>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</si>
  <si>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</si>
  <si>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</si>
  <si>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</si>
  <si>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</si>
  <si>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</si>
  <si>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</si>
  <si>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</si>
  <si>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</si>
  <si>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</si>
  <si>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</si>
  <si>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</si>
  <si>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</si>
  <si>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</si>
  <si>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</si>
  <si>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</si>
  <si>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</si>
  <si>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</si>
  <si>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</si>
  <si>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</si>
  <si>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</si>
  <si>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</si>
  <si>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</si>
  <si>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</si>
  <si>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</si>
  <si>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</si>
  <si>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</si>
  <si>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</si>
  <si>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</si>
  <si>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</si>
  <si>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</si>
  <si>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</si>
  <si>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</si>
  <si>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</si>
  <si>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</si>
  <si>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</si>
  <si>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</si>
  <si>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</si>
  <si>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</si>
  <si>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</si>
  <si>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</si>
  <si>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</si>
  <si>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</si>
  <si>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</si>
  <si>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</si>
  <si>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</si>
  <si>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</si>
  <si>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</si>
  <si>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</si>
  <si>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</si>
  <si>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</si>
  <si>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</si>
  <si>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</si>
  <si>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</si>
  <si>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</si>
  <si>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</si>
  <si>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</si>
  <si>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</si>
  <si>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</si>
  <si>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</si>
  <si>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</si>
  <si>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</si>
  <si>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</si>
  <si>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</si>
  <si>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</si>
  <si>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</si>
  <si>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</si>
  <si>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</si>
  <si>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</si>
  <si>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</si>
  <si>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</si>
  <si>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</si>
  <si>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</si>
  <si>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</si>
  <si>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</si>
  <si>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</si>
  <si>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</si>
  <si>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</si>
  <si>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</si>
  <si>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</si>
  <si>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</si>
  <si>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</si>
  <si>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</si>
  <si>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</si>
  <si>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</si>
  <si>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</si>
  <si>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</si>
  <si>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</si>
  <si>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</si>
  <si>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</si>
  <si>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</si>
  <si>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</si>
  <si>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</si>
  <si>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</si>
  <si>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</si>
  <si>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</si>
  <si>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</si>
  <si>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</si>
  <si>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</si>
  <si>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</si>
  <si>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</si>
  <si>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</si>
  <si>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</si>
  <si>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</si>
  <si>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</si>
  <si>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</si>
  <si>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</si>
  <si>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</si>
  <si>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</si>
  <si>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</si>
  <si>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</si>
  <si>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</si>
  <si>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</si>
  <si>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</si>
  <si>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</si>
  <si>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</si>
  <si>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</si>
  <si>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</si>
  <si>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</si>
  <si>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</si>
  <si>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</si>
  <si>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</si>
  <si>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</si>
  <si>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</si>
  <si>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</si>
  <si>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</si>
  <si>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</si>
  <si>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</si>
  <si>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</si>
  <si>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</si>
  <si>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</si>
  <si>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</si>
  <si>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</si>
  <si>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</si>
  <si>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</si>
  <si>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</si>
  <si>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</si>
  <si>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</si>
  <si>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</si>
  <si>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</si>
  <si>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</si>
  <si>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</si>
  <si>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</si>
  <si>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</si>
  <si>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</si>
  <si>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</si>
  <si>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</si>
  <si>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</si>
  <si>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</si>
  <si>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</si>
  <si>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</si>
  <si>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</si>
  <si>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</si>
  <si>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</si>
  <si>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</si>
  <si>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</si>
  <si>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</si>
  <si>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</si>
  <si>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</si>
  <si>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</si>
  <si>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</si>
  <si>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</si>
  <si>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</si>
  <si>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</si>
  <si>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</si>
  <si>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</si>
  <si>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</si>
  <si>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</si>
  <si>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</si>
  <si>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</si>
  <si>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</si>
  <si>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</si>
  <si>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</si>
  <si>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</si>
  <si>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</si>
  <si>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</si>
  <si>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</si>
  <si>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</si>
  <si>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</si>
  <si>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</si>
  <si>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</si>
  <si>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</si>
  <si>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</si>
  <si>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</si>
  <si>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</si>
  <si>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</si>
  <si>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</si>
  <si>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</si>
  <si>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</si>
  <si>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</si>
  <si>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</si>
  <si>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</si>
  <si>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</si>
  <si>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</si>
  <si>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</si>
  <si>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</si>
  <si>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</si>
  <si>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</si>
  <si>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</si>
  <si>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</si>
  <si>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</si>
  <si>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</si>
  <si>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</si>
  <si>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</si>
  <si>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</si>
  <si>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</si>
  <si>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</si>
  <si>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</si>
  <si>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</si>
  <si>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</si>
  <si>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</si>
  <si>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</si>
  <si>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</si>
  <si>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</si>
  <si>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</si>
  <si>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</si>
  <si>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</si>
  <si>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</si>
  <si>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</si>
  <si>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</si>
  <si>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</si>
  <si>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</si>
  <si>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</si>
  <si>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</si>
  <si>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</si>
  <si>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</si>
  <si>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</si>
  <si>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</si>
  <si>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</si>
  <si>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</si>
  <si>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</si>
  <si>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</si>
  <si>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</si>
  <si>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</si>
  <si>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</si>
  <si>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</si>
  <si>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</si>
  <si>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</si>
  <si>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</si>
  <si>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</si>
  <si>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</si>
  <si>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</si>
  <si>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</si>
  <si>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</si>
  <si>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</si>
  <si>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</si>
  <si>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</si>
  <si>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</si>
  <si>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</si>
  <si>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</si>
  <si>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</si>
  <si>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</si>
  <si>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</si>
  <si>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</si>
  <si>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</si>
  <si>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</si>
  <si>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</si>
  <si>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</si>
  <si>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</si>
  <si>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</si>
  <si>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</si>
  <si>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</si>
  <si>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</si>
  <si>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</si>
  <si>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</si>
  <si>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</si>
  <si>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</si>
  <si>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</si>
  <si>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</si>
  <si>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</si>
  <si>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</si>
  <si>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</si>
  <si>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</si>
  <si>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</si>
  <si>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</si>
  <si>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</si>
  <si>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</si>
  <si>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</si>
  <si>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</si>
  <si>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</si>
  <si>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</si>
  <si>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</si>
  <si>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</si>
  <si>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</si>
  <si>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</si>
  <si>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</si>
  <si>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</si>
  <si>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</si>
  <si>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</si>
  <si>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</si>
  <si>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</si>
  <si>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</si>
  <si>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</si>
  <si>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</si>
  <si>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</si>
  <si>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</si>
  <si>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</si>
  <si>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</si>
  <si>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</si>
  <si>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</si>
  <si>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</si>
  <si>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</si>
  <si>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</si>
  <si>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</si>
  <si>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</si>
  <si>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</si>
  <si>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</si>
  <si>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</si>
  <si>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</si>
  <si>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</si>
  <si>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</si>
  <si>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</si>
  <si>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</si>
  <si>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</si>
  <si>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</si>
  <si>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</si>
  <si>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</si>
  <si>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</si>
  <si>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</si>
  <si>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</si>
  <si>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</si>
  <si>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</si>
  <si>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</si>
  <si>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</si>
  <si>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</si>
  <si>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</si>
  <si>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</si>
  <si>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</si>
  <si>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</si>
  <si>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</si>
  <si>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</si>
  <si>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</si>
  <si>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</si>
  <si>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</si>
  <si>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</si>
  <si>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</si>
  <si>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</si>
  <si>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</si>
  <si>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</si>
  <si>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</si>
  <si>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</si>
  <si>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</si>
  <si>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</si>
  <si>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</si>
  <si>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</si>
  <si>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</si>
  <si>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</si>
  <si>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</si>
  <si>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</si>
  <si>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</si>
  <si>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</si>
  <si>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</si>
  <si>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</si>
  <si>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</si>
  <si>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</si>
  <si>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</si>
  <si>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</si>
  <si>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</si>
  <si>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</si>
  <si>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</si>
  <si>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</si>
  <si>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</si>
  <si>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</si>
  <si>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</si>
  <si>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</si>
  <si>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</si>
  <si>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</si>
  <si>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</si>
  <si>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</si>
  <si>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</si>
  <si>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</si>
  <si>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</si>
  <si>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</si>
  <si>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</si>
  <si>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</si>
  <si>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</si>
  <si>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</si>
  <si>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</si>
  <si>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</si>
  <si>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</si>
  <si>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</si>
  <si>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</si>
  <si>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</si>
  <si>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</si>
  <si>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</si>
  <si>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</si>
  <si>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</si>
  <si>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</si>
  <si>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</si>
  <si>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</si>
  <si>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</si>
  <si>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</si>
  <si>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</si>
  <si>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</si>
  <si>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</si>
  <si>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</si>
  <si>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</si>
  <si>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</si>
  <si>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</si>
  <si>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</si>
  <si>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</si>
  <si>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</si>
  <si>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</si>
  <si>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</si>
  <si>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</si>
  <si>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</si>
  <si>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</si>
  <si>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</si>
  <si>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</si>
  <si>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</si>
  <si>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</si>
  <si>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</si>
  <si>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</si>
  <si>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</si>
  <si>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</si>
  <si>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</si>
  <si>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</si>
  <si>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</si>
  <si>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</si>
  <si>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</si>
  <si>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</si>
  <si>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</si>
  <si>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</si>
  <si>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</si>
  <si>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</si>
  <si>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</si>
  <si>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</si>
  <si>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</si>
  <si>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</si>
  <si>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</si>
  <si>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</si>
  <si>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</si>
  <si>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</si>
  <si>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</si>
  <si>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</si>
  <si>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</si>
  <si>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</si>
  <si>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</si>
  <si>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</si>
  <si>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</si>
  <si>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</si>
  <si>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</si>
  <si>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</si>
  <si>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</si>
  <si>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</si>
  <si>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</si>
  <si>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</si>
  <si>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</si>
  <si>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</si>
  <si>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</si>
  <si>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</si>
  <si>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</si>
  <si>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</si>
  <si>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</si>
  <si>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</si>
  <si>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</si>
  <si>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</si>
  <si>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</si>
  <si>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</si>
  <si>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</si>
  <si>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</si>
  <si>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</si>
  <si>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</si>
  <si>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</si>
  <si>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</si>
  <si>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</si>
  <si>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</si>
  <si>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</si>
  <si>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</si>
  <si>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</si>
  <si>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</si>
  <si>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</si>
  <si>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</si>
  <si>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</si>
  <si>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</si>
  <si>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</si>
  <si>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</si>
  <si>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</si>
  <si>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</si>
  <si>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</si>
  <si>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</si>
  <si>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</si>
  <si>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</si>
  <si>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</si>
  <si>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</si>
  <si>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</si>
  <si>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</si>
  <si>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</si>
  <si>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</si>
  <si>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</si>
  <si>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</si>
  <si>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</si>
  <si>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</si>
  <si>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</si>
  <si>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</si>
  <si>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</si>
  <si>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</si>
  <si>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</si>
  <si>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</si>
  <si>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</si>
  <si>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</si>
  <si>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</si>
  <si>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</si>
  <si>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</si>
  <si>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</si>
  <si>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</si>
  <si>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</si>
  <si>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</si>
  <si>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</si>
  <si>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</si>
  <si>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</si>
  <si>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</si>
  <si>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</si>
  <si>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</si>
  <si>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</si>
  <si>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</si>
  <si>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</si>
  <si>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</si>
  <si>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</si>
  <si>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</si>
  <si>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</si>
  <si>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</si>
  <si>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</si>
  <si>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</si>
  <si>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</si>
  <si>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</si>
  <si>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</si>
  <si>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</si>
  <si>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</si>
  <si>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</si>
  <si>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</si>
  <si>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</si>
  <si>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</si>
  <si>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</si>
  <si>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</si>
  <si>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</si>
  <si>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</si>
  <si>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</si>
  <si>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</si>
  <si>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</si>
  <si>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</si>
  <si>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</si>
  <si>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</si>
  <si>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</si>
  <si>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</si>
  <si>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</si>
  <si>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</si>
  <si>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</si>
  <si>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</si>
  <si>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</si>
  <si>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</si>
  <si>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</si>
  <si>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</si>
  <si>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</si>
  <si>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</si>
  <si>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</si>
  <si>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</si>
  <si>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</si>
  <si>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</si>
  <si>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</si>
  <si>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</si>
  <si>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</si>
  <si>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</si>
  <si>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</si>
  <si>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</si>
  <si>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</si>
  <si>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</si>
  <si>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</si>
  <si>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</si>
  <si>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</si>
  <si>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</si>
  <si>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</si>
  <si>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</si>
  <si>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</si>
  <si>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</si>
  <si>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</si>
  <si>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</si>
  <si>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</si>
  <si>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</si>
  <si>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</si>
  <si>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</si>
  <si>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</si>
  <si>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</si>
  <si>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</si>
  <si>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</si>
  <si>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</si>
  <si>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</si>
  <si>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</si>
  <si>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</si>
  <si>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</si>
  <si>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</si>
  <si>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</si>
  <si>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</si>
  <si>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</si>
  <si>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</si>
  <si>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</si>
  <si>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</si>
  <si>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</si>
  <si>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</si>
  <si>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</si>
  <si>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</si>
  <si>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</si>
  <si>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</si>
  <si>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</si>
  <si>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</si>
  <si>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</si>
  <si>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</si>
  <si>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</si>
  <si>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</si>
  <si>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</si>
  <si>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</si>
  <si>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</si>
  <si>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</si>
  <si>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</si>
  <si>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</si>
  <si>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</si>
  <si>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</si>
  <si>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</si>
  <si>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</si>
  <si>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</si>
  <si>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</si>
  <si>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</si>
  <si>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</si>
  <si>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</si>
  <si>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</si>
  <si>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</si>
  <si>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</si>
  <si>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</si>
  <si>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</si>
  <si>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</si>
  <si>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</si>
  <si>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</si>
  <si>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</si>
  <si>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</si>
  <si>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</si>
  <si>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</si>
  <si>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</si>
  <si>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</si>
  <si>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</si>
  <si>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</si>
  <si>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</si>
  <si>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</si>
  <si>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</si>
  <si>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</si>
  <si>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</si>
  <si>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</si>
  <si>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</si>
  <si>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</si>
  <si>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</si>
  <si>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</si>
  <si>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</si>
  <si>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</si>
  <si>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</si>
  <si>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</si>
  <si>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</si>
  <si>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</si>
  <si>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</si>
  <si>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</si>
  <si>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</si>
  <si>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</si>
  <si>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</si>
  <si>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</si>
  <si>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</si>
  <si>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</si>
  <si>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</si>
  <si>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</si>
  <si>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</si>
  <si>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</si>
  <si>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</si>
  <si>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</si>
  <si>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</si>
  <si>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</si>
  <si>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</si>
  <si>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</si>
  <si>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</si>
  <si>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</si>
  <si>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</si>
  <si>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</si>
  <si>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</si>
  <si>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</si>
  <si>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</si>
  <si>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</si>
  <si>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</si>
  <si>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</si>
  <si>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</si>
  <si>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</si>
  <si>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</si>
  <si>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</si>
  <si>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</si>
  <si>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</si>
  <si>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</si>
  <si>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</si>
  <si>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</si>
  <si>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</si>
  <si>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</si>
  <si>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</si>
  <si>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</si>
  <si>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</si>
  <si>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</si>
  <si>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</si>
  <si>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</si>
  <si>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</si>
  <si>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</si>
  <si>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</si>
  <si>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</si>
  <si>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</si>
  <si>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</si>
  <si>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</si>
  <si>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</si>
  <si>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</si>
  <si>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</si>
  <si>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</si>
  <si>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</si>
  <si>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</si>
  <si>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</si>
  <si>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</si>
  <si>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</si>
  <si>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</si>
  <si>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</si>
  <si>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</si>
  <si>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</si>
  <si>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</si>
  <si>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</si>
  <si>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</si>
  <si>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</si>
  <si>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</si>
  <si>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</si>
  <si>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</si>
  <si>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</si>
  <si>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</si>
  <si>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</si>
  <si>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</si>
  <si>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</si>
  <si>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</si>
  <si>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</si>
  <si>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</si>
  <si>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</si>
  <si>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</si>
  <si>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</si>
  <si>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</si>
  <si>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</si>
  <si>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</si>
  <si>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</si>
  <si>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</si>
  <si>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</si>
  <si>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</si>
  <si>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</si>
  <si>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</si>
  <si>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</si>
  <si>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</si>
  <si>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</si>
  <si>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</si>
  <si>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</si>
  <si>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</si>
  <si>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</si>
  <si>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</si>
  <si>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</si>
  <si>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</si>
  <si>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</si>
  <si>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</si>
  <si>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</si>
  <si>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</si>
  <si>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</si>
  <si>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</si>
  <si>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</si>
  <si>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</si>
  <si>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</si>
  <si>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</si>
  <si>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</si>
  <si>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</si>
  <si>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</si>
  <si>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</si>
  <si>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</si>
  <si>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</si>
  <si>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</si>
  <si>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</si>
  <si>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</si>
  <si>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</si>
  <si>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</si>
  <si>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</si>
  <si>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</si>
  <si>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</si>
  <si>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</si>
  <si>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</si>
  <si>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</si>
  <si>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</si>
  <si>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</si>
  <si>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</si>
  <si>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</si>
  <si>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</si>
  <si>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</si>
  <si>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</si>
  <si>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</si>
  <si>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</si>
  <si>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</si>
  <si>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</si>
  <si>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</si>
  <si>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</si>
  <si>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</si>
  <si>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</si>
  <si>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</si>
  <si>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</si>
  <si>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</si>
  <si>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</si>
  <si>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</si>
  <si>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</si>
  <si>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</si>
  <si>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</si>
  <si>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</si>
  <si>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</si>
  <si>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</si>
  <si>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</si>
  <si>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</si>
  <si>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</si>
  <si>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</si>
  <si>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</si>
  <si>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</si>
  <si>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</si>
  <si>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</si>
  <si>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</si>
  <si>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</si>
  <si>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</si>
  <si>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</si>
  <si>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</si>
  <si>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</si>
  <si>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</si>
  <si>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</si>
  <si>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</si>
  <si>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</si>
  <si>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</si>
  <si>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</si>
  <si>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</si>
  <si>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</si>
  <si>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</si>
  <si>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</si>
  <si>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</si>
  <si>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</si>
  <si>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</si>
  <si>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</si>
  <si>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</si>
  <si>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</si>
  <si>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</si>
  <si>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</si>
  <si>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</si>
  <si>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</si>
  <si>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</si>
  <si>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</si>
  <si>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</si>
  <si>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</si>
  <si>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</si>
  <si>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</si>
  <si>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</si>
  <si>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</si>
  <si>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</si>
  <si>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</si>
  <si>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</si>
  <si>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</si>
  <si>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</si>
  <si>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</si>
  <si>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</si>
  <si>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</si>
  <si>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</si>
  <si>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</si>
  <si>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</si>
  <si>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</si>
  <si>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</si>
  <si>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</si>
  <si>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</si>
  <si>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</si>
  <si>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</si>
  <si>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</si>
  <si>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</si>
  <si>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</si>
  <si>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</si>
  <si>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</si>
  <si>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</si>
  <si>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</si>
  <si>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</si>
  <si>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</si>
  <si>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</si>
  <si>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</si>
  <si>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</si>
  <si>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</si>
  <si>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</si>
  <si>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</si>
  <si>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</si>
  <si>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</si>
  <si>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</si>
  <si>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</si>
  <si>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</si>
  <si>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</si>
  <si>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</si>
  <si>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</si>
  <si>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</si>
  <si>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</si>
  <si>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</si>
  <si>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</si>
  <si>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</si>
  <si>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</si>
  <si>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</si>
  <si>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</si>
  <si>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</si>
  <si>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</si>
  <si>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</si>
  <si>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</si>
  <si>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</si>
  <si>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</si>
  <si>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</si>
  <si>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</si>
  <si>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</si>
  <si>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</si>
  <si>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</si>
  <si>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</si>
  <si>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</si>
  <si>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</si>
  <si>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</si>
  <si>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</si>
  <si>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</si>
  <si>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</si>
  <si>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</si>
  <si>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</si>
  <si>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</si>
  <si>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</si>
  <si>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</si>
  <si>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</si>
  <si>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</si>
  <si>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</si>
  <si>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</si>
  <si>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</si>
  <si>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</si>
  <si>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</si>
  <si>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</si>
  <si>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</si>
  <si>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</si>
  <si>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</si>
  <si>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</si>
  <si>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</si>
  <si>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</si>
  <si>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</si>
  <si>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</si>
  <si>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</si>
  <si>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</si>
  <si>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</si>
  <si>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</si>
  <si>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</si>
  <si>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</si>
  <si>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</si>
  <si>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</si>
  <si>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</si>
  <si>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</si>
  <si>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</si>
  <si>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</si>
  <si>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</si>
  <si>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</si>
  <si>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</si>
  <si>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</si>
  <si>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</si>
  <si>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</si>
  <si>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</si>
  <si>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</si>
  <si>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</si>
  <si>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</si>
  <si>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</si>
  <si>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</si>
  <si>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</si>
  <si>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</si>
  <si>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</si>
  <si>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</si>
  <si>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</si>
  <si>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</si>
  <si>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</si>
  <si>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</si>
  <si>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</si>
  <si>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</si>
  <si>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</si>
  <si>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</si>
  <si>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</si>
  <si>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</si>
  <si>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</si>
  <si>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</si>
  <si>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</si>
  <si>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</si>
  <si>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</si>
  <si>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</si>
  <si>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</si>
  <si>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</si>
  <si>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</si>
  <si>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</si>
  <si>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</si>
  <si>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</si>
  <si>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</si>
  <si>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</si>
  <si>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</si>
  <si>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</si>
  <si>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</si>
  <si>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</si>
  <si>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</si>
  <si>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</si>
  <si>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</si>
  <si>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</si>
  <si>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</si>
  <si>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</si>
  <si>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</si>
  <si>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</si>
  <si>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</si>
  <si>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</si>
  <si>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</si>
  <si>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</si>
  <si>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</si>
  <si>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</si>
  <si>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</si>
  <si>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</si>
  <si>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</si>
  <si>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</si>
  <si>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</si>
  <si>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</si>
  <si>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</si>
  <si>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</si>
  <si>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</si>
  <si>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</si>
  <si>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</si>
  <si>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</si>
  <si>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</si>
  <si>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</si>
  <si>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</si>
  <si>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</si>
  <si>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</si>
  <si>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</si>
  <si>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</si>
  <si>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</si>
  <si>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</si>
  <si>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</si>
  <si>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</si>
  <si>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</si>
  <si>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</si>
  <si>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</si>
  <si>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</si>
  <si>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</si>
  <si>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</si>
  <si>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</si>
  <si>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</si>
  <si>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</si>
  <si>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</si>
  <si>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</si>
  <si>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</si>
  <si>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</si>
  <si>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</si>
  <si>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</si>
  <si>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</si>
  <si>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</si>
  <si>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</si>
  <si>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</si>
  <si>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</si>
  <si>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</si>
  <si>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</si>
  <si>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</si>
  <si>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</si>
  <si>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</si>
  <si>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</si>
  <si>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</si>
  <si>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</si>
  <si>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</si>
  <si>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</si>
  <si>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</si>
  <si>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</si>
  <si>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</si>
  <si>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</si>
  <si>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</si>
  <si>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</si>
  <si>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</si>
  <si>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</si>
  <si>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</si>
  <si>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</si>
  <si>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</si>
  <si>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</si>
  <si>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</si>
  <si>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</si>
  <si>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</si>
  <si>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</si>
  <si>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</si>
  <si>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</si>
  <si>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</si>
  <si>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</si>
  <si>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</si>
  <si>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</si>
  <si>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</si>
  <si>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</si>
  <si>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</si>
  <si>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</si>
  <si>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</si>
  <si>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</si>
  <si>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</si>
  <si>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</si>
  <si>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</si>
  <si>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</si>
  <si>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</si>
  <si>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</si>
  <si>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</si>
  <si>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</si>
  <si>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</si>
  <si>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</si>
  <si>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</si>
  <si>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</si>
  <si>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</si>
  <si>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</si>
  <si>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</si>
  <si>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</si>
  <si>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</si>
  <si>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</si>
  <si>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</si>
  <si>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</si>
  <si>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</si>
  <si>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</si>
  <si>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</si>
  <si>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</si>
  <si>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</si>
  <si>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</si>
  <si>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</si>
  <si>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</si>
  <si>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</si>
  <si>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</si>
  <si>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</si>
  <si>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</si>
  <si>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</si>
  <si>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</si>
  <si>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</si>
  <si>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</si>
  <si>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</si>
  <si>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</si>
  <si>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</si>
  <si>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</si>
  <si>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</si>
  <si>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</si>
  <si>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</si>
  <si>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</si>
  <si>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</si>
  <si>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</si>
  <si>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</si>
  <si>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</si>
  <si>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</si>
  <si>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</si>
  <si>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</si>
  <si>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</si>
  <si>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</si>
  <si>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</si>
  <si>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</si>
  <si>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</si>
  <si>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</si>
  <si>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</si>
  <si>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</si>
  <si>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</si>
  <si>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</si>
  <si>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</si>
  <si>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</si>
  <si>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</si>
  <si>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</si>
  <si>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</si>
  <si>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</si>
  <si>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</si>
  <si>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</si>
  <si>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</si>
  <si>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</si>
  <si>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</si>
  <si>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</si>
  <si>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</si>
  <si>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</si>
  <si>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</si>
  <si>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</si>
  <si>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</si>
  <si>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</si>
  <si>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</si>
  <si>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</si>
  <si>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</si>
  <si>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</si>
  <si>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</si>
  <si>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</si>
  <si>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</si>
  <si>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</si>
  <si>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</si>
  <si>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</si>
  <si>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</si>
  <si>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</si>
  <si>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</si>
  <si>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</si>
  <si>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</si>
  <si>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</si>
  <si>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</si>
  <si>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</si>
  <si>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</si>
  <si>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</si>
  <si>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</si>
  <si>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</si>
  <si>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</si>
  <si>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</si>
  <si>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</si>
  <si>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</si>
  <si>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</si>
  <si>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</si>
  <si>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</si>
  <si>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</si>
  <si>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</si>
  <si>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</si>
  <si>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</si>
  <si>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</si>
  <si>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</si>
  <si>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</si>
  <si>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</si>
  <si>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</si>
  <si>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</si>
  <si>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</si>
  <si>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</si>
  <si>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</si>
  <si>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</si>
  <si>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</si>
  <si>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</si>
  <si>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</si>
  <si>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</si>
  <si>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</si>
  <si>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</si>
  <si>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</si>
  <si>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</si>
  <si>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</si>
  <si>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</si>
  <si>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</si>
  <si>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</si>
  <si>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</si>
  <si>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</si>
  <si>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</si>
  <si>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</si>
  <si>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</si>
  <si>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</si>
  <si>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</si>
  <si>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</si>
  <si>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</si>
  <si>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</si>
  <si>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</si>
  <si>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</si>
  <si>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</si>
  <si>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</si>
  <si>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</si>
  <si>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</si>
  <si>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</si>
  <si>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</si>
  <si>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</si>
  <si>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</si>
  <si>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</si>
  <si>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</si>
  <si>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</si>
  <si>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</si>
  <si>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</si>
  <si>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</si>
  <si>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</si>
  <si>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</si>
  <si>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</si>
  <si>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</si>
  <si>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</si>
  <si>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</si>
  <si>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</si>
  <si>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</si>
  <si>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</si>
  <si>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</si>
  <si>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</si>
  <si>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</si>
  <si>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</si>
  <si>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</si>
  <si>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</si>
  <si>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</si>
  <si>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</si>
  <si>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</si>
  <si>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</si>
  <si>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</si>
  <si>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</si>
  <si>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</si>
  <si>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</si>
  <si>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</si>
  <si>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</si>
  <si>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</si>
  <si>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</si>
  <si>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</si>
  <si>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</si>
  <si>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</si>
  <si>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</si>
  <si>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</si>
  <si>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</si>
  <si>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</si>
  <si>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</si>
  <si>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</si>
  <si>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</si>
  <si>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</si>
  <si>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</si>
  <si>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</si>
  <si>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</si>
  <si>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</si>
  <si>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</si>
  <si>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</si>
  <si>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</si>
  <si>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</si>
  <si>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</si>
  <si>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</si>
  <si>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</si>
  <si>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</si>
  <si>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</si>
  <si>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</si>
  <si>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</si>
  <si>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</si>
  <si>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</si>
  <si>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</si>
  <si>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</si>
  <si>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</si>
  <si>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</si>
  <si>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</si>
  <si>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</si>
  <si>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</si>
  <si>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</si>
  <si>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</si>
  <si>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</si>
  <si>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</si>
  <si>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</si>
  <si>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</si>
  <si>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</si>
  <si>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</si>
  <si>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</si>
  <si>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</si>
  <si>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</si>
  <si>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</si>
  <si>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</si>
  <si>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</si>
  <si>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</si>
  <si>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</si>
  <si>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</si>
  <si>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</si>
  <si>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</si>
  <si>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</si>
  <si>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</si>
  <si>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</si>
  <si>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</si>
  <si>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</si>
  <si>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</si>
  <si>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</si>
  <si>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</si>
  <si>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</si>
  <si>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</si>
  <si>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</si>
  <si>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</si>
  <si>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</si>
  <si>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</si>
  <si>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</si>
  <si>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</si>
  <si>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</si>
  <si>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</si>
  <si>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</si>
  <si>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</si>
  <si>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</si>
  <si>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</si>
  <si>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</si>
  <si>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</si>
  <si>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</si>
  <si>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</si>
  <si>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</si>
  <si>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</si>
  <si>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</si>
  <si>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</si>
  <si>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</si>
  <si>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</si>
  <si>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</si>
  <si>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</si>
  <si>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</si>
  <si>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</si>
  <si>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</si>
  <si>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</si>
  <si>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</si>
  <si>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</si>
  <si>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</si>
  <si>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</si>
  <si>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</si>
  <si>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</si>
  <si>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</si>
  <si>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</si>
  <si>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</si>
  <si>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</si>
  <si>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</si>
  <si>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</si>
  <si>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</si>
  <si>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</si>
  <si>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</si>
  <si>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</si>
  <si>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</si>
  <si>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</si>
  <si>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</si>
  <si>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</si>
  <si>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</si>
  <si>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</si>
  <si>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</si>
  <si>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</si>
  <si>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</si>
  <si>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</si>
  <si>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</si>
  <si>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</si>
  <si>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</si>
  <si>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</si>
  <si>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</si>
  <si>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</si>
  <si>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</si>
  <si>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</si>
  <si>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</si>
  <si>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</si>
  <si>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</si>
  <si>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</si>
  <si>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</si>
  <si>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</si>
  <si>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</si>
  <si>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</si>
  <si>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</si>
  <si>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</si>
  <si>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</si>
  <si>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</si>
  <si>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</si>
  <si>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</si>
  <si>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</si>
  <si>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</si>
  <si>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</si>
  <si>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</si>
  <si>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</si>
  <si>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</si>
  <si>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</si>
  <si>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</si>
  <si>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</si>
  <si>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</si>
  <si>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</si>
  <si>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</si>
  <si>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</si>
  <si>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</si>
  <si>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</si>
  <si>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</si>
  <si>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</si>
  <si>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</si>
  <si>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</si>
  <si>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</si>
  <si>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</si>
  <si>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</si>
  <si>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</si>
  <si>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</si>
  <si>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</si>
  <si>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</si>
  <si>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</si>
  <si>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</si>
  <si>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</si>
  <si>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</si>
  <si>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</si>
  <si>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</si>
  <si>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</si>
  <si>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</si>
  <si>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</si>
  <si>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</si>
  <si>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</si>
  <si>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</si>
  <si>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</si>
  <si>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</si>
  <si>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</si>
  <si>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</si>
  <si>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</si>
  <si>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</si>
  <si>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</si>
  <si>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</si>
  <si>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</si>
  <si>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</si>
  <si>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</si>
  <si>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</si>
  <si>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</si>
  <si>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</si>
  <si>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</si>
  <si>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</si>
  <si>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</si>
  <si>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</si>
  <si>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</si>
  <si>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</si>
  <si>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</si>
  <si>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</si>
  <si>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</si>
  <si>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</si>
  <si>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</si>
  <si>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</si>
  <si>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</si>
  <si>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</si>
  <si>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</si>
  <si>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</si>
  <si>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</si>
  <si>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</si>
  <si>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</si>
  <si>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</si>
  <si>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</si>
  <si>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</si>
  <si>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</si>
  <si>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</si>
  <si>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</si>
  <si>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</si>
  <si>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</si>
  <si>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</si>
  <si>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</si>
  <si>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</si>
  <si>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</si>
  <si>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</si>
  <si>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</si>
  <si>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</si>
  <si>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</si>
  <si>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</si>
  <si>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</si>
  <si>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</si>
  <si>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</si>
  <si>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</si>
  <si>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</si>
  <si>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</si>
  <si>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</si>
  <si>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</si>
  <si>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</si>
  <si>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</si>
  <si>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</si>
  <si>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</si>
  <si>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</si>
  <si>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</si>
  <si>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</si>
  <si>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</si>
  <si>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</si>
  <si>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</si>
  <si>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</si>
  <si>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</si>
  <si>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</si>
  <si>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</si>
  <si>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</si>
  <si>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</si>
  <si>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</si>
  <si>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</si>
  <si>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</si>
  <si>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</si>
  <si>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</si>
  <si>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</si>
  <si>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</si>
  <si>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</si>
  <si>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</si>
  <si>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</si>
  <si>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</si>
  <si>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</si>
  <si>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</si>
  <si>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</si>
  <si>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</si>
  <si>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</si>
  <si>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</si>
  <si>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</si>
  <si>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</si>
  <si>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</si>
  <si>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</si>
  <si>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</si>
  <si>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</si>
  <si>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</si>
  <si>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</si>
  <si>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</si>
  <si>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</si>
  <si>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</si>
  <si>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</si>
  <si>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</si>
  <si>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</si>
  <si>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</si>
  <si>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</si>
  <si>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</si>
  <si>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</si>
  <si>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</si>
  <si>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</si>
  <si>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</si>
  <si>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</si>
  <si>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</si>
  <si>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</si>
  <si>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</si>
  <si>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</si>
  <si>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</si>
  <si>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</si>
  <si>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</si>
  <si>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</si>
  <si>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</si>
  <si>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</si>
  <si>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</si>
  <si>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</si>
  <si>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</si>
  <si>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</si>
  <si>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</si>
  <si>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</si>
  <si>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</si>
  <si>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</si>
  <si>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</si>
  <si>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</si>
  <si>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</si>
  <si>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</si>
  <si>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</si>
  <si>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</si>
  <si>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</si>
  <si>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</si>
  <si>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</si>
  <si>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</si>
  <si>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</si>
  <si>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</si>
  <si>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</si>
  <si>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</si>
  <si>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</si>
  <si>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</si>
  <si>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</si>
  <si>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</si>
  <si>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</si>
  <si>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</si>
  <si>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</si>
  <si>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</si>
  <si>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</si>
  <si>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</si>
  <si>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</si>
  <si>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</si>
  <si>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</si>
  <si>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</si>
  <si>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</si>
  <si>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</si>
  <si>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</si>
  <si>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</si>
  <si>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</si>
  <si>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</si>
  <si>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</si>
  <si>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</si>
  <si>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</si>
  <si>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</si>
  <si>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</si>
  <si>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</si>
  <si>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</si>
  <si>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</si>
  <si>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</si>
  <si>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</si>
  <si>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</si>
  <si>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</si>
  <si>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</si>
  <si>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</si>
  <si>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</si>
  <si>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</si>
  <si>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</si>
  <si>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</si>
  <si>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</si>
  <si>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</si>
  <si>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</si>
  <si>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</si>
  <si>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</si>
  <si>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</si>
  <si>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</si>
  <si>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</si>
  <si>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</si>
  <si>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</si>
  <si>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</si>
  <si>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</si>
  <si>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</si>
  <si>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</si>
  <si>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</si>
  <si>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</si>
  <si>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</si>
  <si>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</si>
  <si>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</si>
  <si>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</si>
  <si>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</si>
  <si>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</si>
  <si>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</si>
  <si>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</si>
  <si>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</si>
  <si>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</si>
  <si>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</si>
  <si>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</si>
  <si>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</si>
  <si>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</si>
  <si>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</si>
  <si>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</si>
  <si>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</si>
  <si>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</si>
  <si>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</si>
  <si>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</si>
  <si>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</si>
  <si>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</si>
  <si>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</si>
  <si>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</si>
  <si>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</si>
  <si>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</si>
  <si>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</si>
  <si>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</si>
  <si>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</si>
  <si>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</si>
  <si>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</si>
  <si>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</si>
  <si>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</si>
  <si>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</si>
  <si>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</si>
  <si>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</si>
  <si>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</si>
  <si>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</si>
  <si>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</si>
  <si>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</si>
  <si>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</si>
  <si>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</si>
  <si>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</si>
  <si>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</si>
  <si>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</si>
  <si>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</si>
  <si>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</si>
  <si>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</si>
  <si>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</si>
  <si>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</si>
  <si>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</si>
  <si>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</si>
  <si>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</si>
  <si>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</si>
  <si>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</si>
  <si>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</si>
  <si>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</si>
  <si>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</si>
  <si>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</si>
  <si>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</si>
  <si>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</si>
  <si>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</si>
  <si>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</si>
  <si>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</si>
  <si>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</si>
  <si>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</si>
  <si>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</si>
  <si>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</si>
  <si>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</si>
  <si>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</si>
  <si>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</si>
  <si>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</si>
  <si>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</si>
  <si>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</si>
  <si>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</si>
  <si>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</si>
  <si>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</si>
  <si>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</si>
  <si>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</si>
  <si>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</si>
  <si>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</si>
  <si>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</si>
  <si>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</si>
  <si>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</si>
  <si>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</si>
  <si>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</si>
  <si>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</si>
  <si>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</si>
  <si>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</si>
  <si>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</si>
  <si>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</si>
  <si>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</si>
  <si>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</si>
  <si>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</si>
  <si>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</si>
  <si>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</si>
  <si>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</si>
  <si>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</si>
  <si>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</si>
  <si>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</si>
  <si>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</si>
  <si>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</si>
  <si>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</si>
  <si>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</si>
  <si>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</si>
  <si>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</si>
  <si>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</si>
  <si>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</si>
  <si>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</si>
  <si>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</si>
  <si>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</si>
  <si>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</si>
  <si>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</si>
  <si>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</si>
  <si>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</si>
  <si>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</si>
  <si>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</si>
  <si>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</si>
  <si>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</si>
  <si>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</si>
  <si>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</si>
  <si>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</si>
  <si>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</si>
  <si>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</si>
  <si>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</si>
  <si>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</si>
  <si>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</si>
  <si>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</si>
  <si>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</si>
  <si>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</si>
  <si>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</si>
  <si>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</si>
  <si>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</si>
  <si>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</si>
  <si>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</si>
  <si>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</si>
  <si>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</si>
  <si>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</si>
  <si>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</si>
  <si>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</si>
  <si>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</si>
  <si>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</si>
  <si>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</si>
  <si>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</si>
  <si>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</si>
  <si>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</si>
  <si>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</si>
  <si>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</si>
  <si>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</si>
  <si>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</si>
  <si>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</si>
  <si>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</si>
  <si>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</si>
  <si>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</si>
  <si>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</si>
  <si>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</si>
  <si>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</si>
  <si>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</si>
  <si>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</si>
  <si>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</si>
  <si>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</si>
  <si>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</si>
  <si>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</si>
  <si>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</si>
  <si>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</si>
  <si>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</si>
  <si>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</si>
  <si>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</si>
  <si>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</si>
  <si>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</si>
  <si>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</si>
  <si>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</si>
  <si>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</si>
  <si>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</si>
  <si>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</si>
  <si>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</si>
  <si>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</si>
  <si>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</si>
  <si>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</si>
  <si>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</si>
  <si>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</si>
  <si>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</si>
  <si>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</si>
  <si>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</si>
  <si>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</si>
  <si>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</si>
  <si>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</si>
  <si>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</si>
  <si>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</si>
  <si>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</si>
  <si>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</si>
  <si>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</si>
  <si>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</si>
  <si>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</si>
  <si>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</si>
  <si>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</si>
  <si>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</si>
  <si>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</si>
  <si>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</si>
  <si>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</si>
  <si>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</si>
  <si>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</si>
  <si>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</si>
  <si>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</si>
  <si>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</si>
  <si>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</si>
  <si>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</si>
  <si>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</si>
  <si>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</si>
  <si>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</si>
  <si>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</si>
  <si>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</si>
  <si>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</si>
  <si>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</si>
  <si>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</si>
  <si>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</si>
  <si>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</si>
  <si>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</si>
  <si>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</si>
  <si>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</si>
  <si>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</si>
  <si>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</si>
  <si>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</si>
  <si>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</si>
  <si>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</si>
  <si>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</si>
  <si>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</si>
  <si>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</si>
  <si>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</si>
  <si>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</si>
  <si>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</si>
  <si>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</si>
  <si>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</si>
  <si>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</si>
  <si>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</si>
  <si>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</si>
  <si>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</si>
  <si>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</si>
  <si>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</si>
  <si>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</si>
  <si>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</si>
  <si>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</si>
  <si>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</si>
  <si>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</si>
  <si>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</si>
  <si>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</si>
  <si>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</si>
  <si>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</si>
  <si>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</si>
  <si>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</si>
  <si>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</si>
  <si>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</si>
  <si>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</si>
  <si>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</si>
  <si>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</si>
  <si>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</si>
  <si>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</si>
  <si>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</si>
  <si>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</si>
  <si>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</si>
  <si>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</si>
  <si>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</si>
  <si>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</si>
  <si>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</si>
  <si>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</si>
  <si>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</si>
  <si>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</si>
  <si>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</si>
  <si>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</si>
  <si>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</si>
  <si>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</si>
  <si>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</si>
  <si>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</si>
  <si>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</si>
  <si>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</si>
  <si>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</si>
  <si>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</si>
  <si>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</si>
  <si>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</si>
  <si>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</si>
  <si>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</si>
  <si>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</si>
  <si>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</si>
  <si>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</si>
  <si>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</si>
  <si>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</si>
  <si>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</si>
  <si>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</si>
  <si>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</si>
  <si>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</si>
  <si>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</si>
  <si>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</si>
  <si>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</si>
  <si>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</si>
  <si>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</si>
  <si>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</si>
  <si>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</si>
  <si>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</si>
  <si>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</si>
  <si>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</si>
  <si>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</si>
  <si>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</si>
  <si>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</si>
  <si>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</si>
  <si>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</si>
  <si>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</si>
  <si>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</si>
  <si>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</si>
  <si>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</si>
  <si>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</si>
  <si>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</si>
  <si>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</si>
  <si>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</si>
  <si>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</si>
  <si>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</si>
  <si>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</si>
  <si>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</si>
  <si>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</si>
  <si>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</si>
  <si>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</si>
  <si>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</si>
  <si>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</si>
  <si>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</si>
  <si>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</si>
  <si>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</si>
  <si>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</si>
  <si>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</si>
  <si>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</si>
  <si>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</si>
  <si>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</si>
  <si>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</si>
  <si>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</si>
  <si>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</si>
  <si>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</si>
  <si>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</si>
  <si>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</si>
  <si>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</si>
  <si>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</si>
  <si>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</si>
  <si>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</si>
  <si>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</si>
  <si>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</si>
  <si>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</si>
  <si>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</si>
  <si>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</si>
  <si>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</si>
  <si>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</si>
  <si>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</si>
  <si>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</si>
  <si>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</si>
  <si>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</si>
  <si>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</si>
  <si>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</si>
  <si>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</si>
  <si>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</si>
  <si>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</si>
  <si>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</si>
  <si>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</si>
  <si>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</si>
  <si>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</si>
  <si>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</si>
  <si>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</si>
  <si>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</si>
  <si>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</si>
  <si>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</si>
  <si>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</si>
  <si>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</si>
  <si>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</si>
  <si>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</si>
  <si>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</si>
  <si>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</si>
  <si>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</si>
  <si>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</si>
  <si>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</si>
  <si>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</si>
  <si>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</si>
  <si>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</si>
  <si>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</si>
  <si>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</si>
  <si>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</si>
  <si>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</si>
  <si>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</si>
  <si>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</si>
  <si>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</si>
  <si>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</si>
  <si>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</si>
  <si>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</si>
  <si>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</si>
  <si>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</si>
  <si>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</si>
  <si>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</si>
  <si>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</si>
  <si>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</si>
  <si>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</si>
  <si>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</si>
  <si>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</si>
  <si>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</si>
  <si>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</si>
  <si>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</si>
  <si>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</si>
  <si>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</si>
  <si>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</si>
  <si>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</si>
  <si>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</si>
  <si>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</si>
  <si>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</si>
  <si>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</si>
  <si>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</si>
  <si>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</si>
  <si>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</si>
  <si>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</si>
  <si>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</si>
  <si>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</si>
  <si>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</si>
  <si>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</si>
  <si>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</si>
  <si>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</si>
  <si>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</si>
  <si>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</si>
  <si>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</si>
  <si>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</si>
  <si>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</si>
  <si>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</si>
  <si>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</si>
  <si>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</si>
  <si>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</si>
  <si>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</si>
  <si>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</si>
  <si>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</si>
  <si>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</si>
  <si>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</si>
  <si>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</si>
  <si>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</si>
  <si>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</si>
  <si>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</si>
  <si>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</si>
  <si>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</si>
  <si>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</si>
  <si>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</si>
  <si>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</si>
  <si>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</si>
  <si>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</si>
  <si>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</si>
  <si>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</si>
  <si>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</si>
  <si>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</si>
  <si>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</si>
  <si>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</si>
  <si>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</si>
  <si>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</si>
  <si>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</si>
  <si>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</si>
  <si>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</si>
  <si>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</si>
  <si>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</si>
  <si>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</si>
  <si>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</si>
  <si>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</si>
  <si>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</si>
  <si>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</si>
  <si>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</si>
  <si>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</si>
  <si>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</si>
  <si>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</si>
  <si>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</si>
  <si>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</si>
  <si>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</si>
  <si>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</si>
  <si>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</si>
  <si>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</si>
  <si>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</si>
  <si>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</si>
  <si>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</si>
  <si>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</si>
  <si>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</si>
  <si>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</si>
  <si>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</si>
  <si>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</si>
  <si>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</si>
  <si>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</si>
  <si>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</si>
  <si>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</si>
  <si>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</si>
  <si>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</si>
  <si>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</si>
  <si>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</si>
  <si>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</si>
  <si>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</si>
  <si>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</si>
  <si>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</si>
  <si>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</si>
  <si>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</si>
  <si>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</si>
  <si>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</si>
  <si>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</si>
  <si>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</si>
  <si>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</si>
  <si>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</si>
  <si>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</si>
  <si>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</si>
  <si>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</si>
  <si>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</si>
  <si>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</si>
  <si>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</si>
  <si>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</si>
  <si>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</si>
  <si>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</si>
  <si>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</si>
  <si>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</si>
  <si>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</si>
  <si>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</si>
  <si>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</si>
  <si>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</si>
  <si>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</si>
  <si>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</si>
  <si>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</si>
  <si>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</si>
  <si>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</si>
  <si>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</si>
  <si>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</si>
  <si>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</si>
  <si>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</si>
  <si>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</si>
  <si>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</si>
  <si>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</si>
  <si>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</si>
  <si>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</si>
  <si>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</si>
  <si>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</si>
  <si>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</si>
  <si>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</si>
  <si>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</si>
  <si>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</si>
  <si>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</si>
  <si>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</si>
  <si>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</si>
  <si>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</si>
  <si>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</si>
  <si>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</si>
  <si>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</si>
  <si>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</si>
  <si>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</si>
  <si>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</si>
  <si>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</si>
  <si>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</si>
  <si>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</si>
  <si>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</si>
  <si>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</si>
  <si>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</si>
  <si>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</si>
  <si>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</si>
  <si>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</si>
  <si>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</si>
  <si>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</si>
  <si>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</si>
  <si>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</si>
  <si>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</si>
  <si>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</si>
  <si>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</si>
  <si>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</si>
  <si>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</si>
  <si>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</si>
  <si>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</si>
  <si>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</si>
  <si>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</si>
  <si>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</si>
  <si>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</si>
  <si>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</si>
  <si>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</si>
  <si>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</si>
  <si>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</si>
  <si>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</si>
  <si>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</si>
  <si>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</si>
  <si>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</si>
  <si>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</si>
  <si>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</si>
  <si>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</si>
  <si>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</si>
  <si>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</si>
  <si>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</si>
  <si>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</si>
  <si>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</si>
  <si>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</si>
  <si>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</si>
  <si>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</si>
  <si>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</si>
  <si>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</si>
  <si>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</si>
  <si>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</si>
  <si>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</si>
  <si>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</si>
  <si>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</si>
  <si>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</si>
  <si>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</si>
  <si>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</si>
  <si>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</si>
  <si>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</si>
  <si>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</si>
  <si>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</si>
  <si>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</si>
  <si>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</si>
  <si>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</si>
  <si>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</si>
  <si>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</si>
  <si>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</si>
  <si>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</si>
  <si>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</si>
  <si>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</si>
  <si>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</si>
  <si>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</si>
  <si>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</si>
  <si>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</si>
  <si>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</si>
  <si>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</si>
  <si>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</si>
  <si>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</si>
  <si>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</si>
  <si>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</si>
  <si>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</si>
  <si>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</si>
  <si>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</si>
  <si>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</si>
  <si>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</si>
  <si>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</si>
  <si>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</si>
  <si>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</si>
  <si>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</si>
  <si>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</si>
  <si>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</si>
  <si>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</si>
  <si>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</si>
  <si>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</si>
  <si>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</si>
  <si>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</si>
  <si>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</si>
  <si>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</si>
  <si>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</si>
  <si>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</si>
  <si>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</si>
  <si>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</si>
  <si>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</si>
  <si>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</si>
  <si>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</si>
  <si>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</si>
  <si>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</si>
  <si>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</si>
  <si>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</si>
  <si>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</si>
  <si>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</si>
  <si>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</si>
  <si>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</si>
  <si>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</si>
  <si>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</si>
  <si>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</si>
  <si>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</si>
  <si>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</si>
  <si>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</si>
  <si>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</si>
  <si>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</si>
  <si>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</si>
  <si>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</si>
  <si>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</si>
  <si>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</si>
  <si>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</si>
  <si>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</si>
  <si>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</si>
  <si>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</si>
  <si>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</si>
  <si>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</si>
  <si>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</si>
  <si>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</si>
  <si>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</si>
  <si>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</si>
  <si>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</si>
  <si>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</si>
  <si>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</si>
  <si>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</si>
  <si>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</si>
  <si>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</si>
  <si>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</si>
  <si>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</si>
  <si>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</si>
  <si>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</si>
  <si>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</si>
  <si>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</si>
  <si>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</si>
  <si>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</si>
  <si>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</si>
  <si>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</si>
  <si>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</si>
  <si>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</si>
  <si>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</si>
  <si>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</si>
  <si>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</si>
  <si>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</si>
  <si>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</si>
  <si>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</si>
  <si>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</si>
  <si>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</si>
  <si>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</si>
  <si>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</si>
  <si>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</si>
  <si>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</si>
  <si>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</si>
  <si>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</si>
  <si>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</si>
  <si>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</si>
  <si>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</si>
  <si>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</si>
  <si>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</si>
  <si>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</si>
  <si>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</si>
  <si>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</si>
  <si>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</si>
  <si>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</si>
  <si>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</si>
  <si>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</si>
  <si>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</si>
  <si>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</si>
  <si>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</si>
  <si>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</si>
  <si>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</si>
  <si>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</si>
  <si>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</si>
  <si>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</si>
  <si>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</si>
  <si>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</si>
  <si>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</si>
  <si>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</si>
  <si>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</si>
  <si>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</si>
  <si>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</si>
  <si>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</si>
  <si>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</si>
  <si>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</si>
  <si>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</si>
  <si>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</si>
  <si>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</si>
  <si>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</si>
  <si>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</si>
  <si>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</si>
  <si>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</si>
  <si>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</si>
  <si>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</si>
  <si>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</si>
  <si>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</si>
  <si>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</si>
  <si>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</si>
  <si>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</si>
  <si>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</si>
  <si>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</si>
  <si>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</si>
  <si>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</si>
  <si>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</si>
  <si>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</si>
  <si>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</si>
  <si>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</si>
  <si>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</si>
  <si>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</si>
  <si>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</si>
  <si>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</si>
  <si>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</si>
  <si>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</si>
  <si>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</si>
  <si>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</si>
  <si>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</si>
  <si>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</si>
  <si>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</si>
  <si>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</si>
  <si>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</si>
  <si>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</si>
  <si>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</si>
  <si>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</si>
  <si>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</si>
  <si>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</si>
  <si>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</si>
  <si>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</si>
  <si>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</si>
  <si>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</si>
  <si>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</si>
  <si>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</si>
  <si>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</si>
  <si>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</si>
  <si>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</si>
  <si>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</si>
  <si>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</si>
  <si>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</si>
  <si>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</si>
  <si>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</si>
  <si>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</si>
  <si>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</si>
  <si>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</si>
  <si>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</si>
  <si>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</si>
  <si>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</si>
  <si>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</si>
  <si>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</si>
  <si>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</si>
  <si>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</si>
  <si>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</si>
  <si>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</si>
  <si>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</si>
  <si>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</si>
  <si>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</si>
  <si>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</si>
  <si>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</si>
  <si>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</si>
  <si>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</si>
  <si>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</si>
  <si>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</si>
  <si>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</si>
  <si>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</si>
  <si>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</si>
  <si>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</si>
  <si>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</si>
  <si>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</si>
  <si>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</si>
  <si>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</si>
  <si>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</si>
  <si>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</si>
  <si>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</si>
  <si>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</si>
  <si>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</si>
  <si>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</si>
  <si>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</si>
  <si>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</si>
  <si>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</si>
  <si>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</si>
  <si>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</si>
  <si>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</si>
  <si>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</si>
  <si>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</si>
  <si>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</si>
  <si>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</si>
  <si>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</si>
  <si>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</si>
  <si>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</si>
  <si>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</si>
  <si>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</si>
  <si>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</si>
  <si>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</si>
  <si>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</si>
  <si>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</si>
  <si>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</si>
  <si>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</si>
  <si>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</si>
  <si>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</si>
  <si>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</si>
  <si>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</si>
  <si>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</si>
  <si>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</si>
  <si>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</si>
  <si>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</si>
  <si>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</si>
  <si>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</si>
  <si>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</si>
  <si>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</si>
  <si>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</si>
  <si>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</si>
  <si>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</si>
  <si>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</si>
  <si>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</si>
  <si>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</si>
  <si>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</si>
  <si>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</si>
  <si>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</si>
  <si>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</si>
  <si>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</si>
  <si>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</si>
  <si>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</si>
  <si>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</si>
  <si>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</si>
  <si>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</si>
  <si>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</si>
  <si>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</si>
  <si>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</si>
  <si>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</si>
  <si>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</si>
  <si>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</si>
  <si>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</si>
  <si>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</si>
  <si>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</si>
  <si>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</si>
  <si>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</si>
  <si>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</si>
  <si>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</si>
  <si>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</si>
  <si>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</si>
  <si>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</si>
  <si>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</si>
  <si>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</si>
  <si>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</si>
  <si>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</si>
  <si>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</si>
  <si>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</si>
  <si>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</si>
  <si>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</si>
  <si>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</si>
  <si>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</si>
  <si>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</si>
  <si>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</si>
  <si>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</si>
  <si>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</si>
  <si>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</si>
  <si>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</si>
  <si>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</si>
  <si>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</si>
  <si>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</si>
  <si>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</si>
  <si>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</si>
  <si>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</si>
  <si>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</si>
  <si>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</si>
  <si>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</si>
  <si>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</si>
  <si>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</si>
  <si>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</si>
  <si>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</si>
  <si>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</si>
  <si>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</si>
  <si>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</si>
  <si>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</si>
  <si>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</si>
  <si>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</si>
  <si>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</si>
  <si>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</si>
  <si>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</si>
  <si>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</si>
  <si>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</si>
  <si>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</si>
  <si>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</si>
  <si>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</si>
  <si>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</si>
  <si>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</si>
  <si>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</si>
  <si>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</si>
  <si>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</si>
  <si>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</si>
  <si>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</si>
  <si>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</si>
  <si>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</si>
  <si>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</si>
  <si>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</si>
  <si>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</si>
  <si>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</si>
  <si>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</si>
  <si>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</si>
  <si>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</si>
  <si>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</si>
  <si>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</si>
  <si>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</si>
  <si>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</si>
  <si>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</si>
  <si>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</si>
  <si>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</si>
  <si>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</si>
  <si>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</si>
  <si>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</si>
  <si>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</si>
  <si>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</si>
  <si>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</si>
  <si>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</si>
  <si>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</si>
  <si>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</si>
  <si>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</si>
  <si>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</si>
  <si>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</si>
  <si>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</si>
  <si>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</si>
  <si>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</si>
  <si>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</si>
  <si>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</si>
  <si>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</si>
  <si>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</si>
  <si>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</si>
  <si>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</si>
  <si>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</si>
  <si>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</si>
  <si>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</si>
  <si>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</si>
  <si>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</si>
  <si>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</si>
  <si>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</si>
  <si>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</si>
  <si>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</si>
  <si>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</si>
  <si>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</si>
  <si>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</si>
  <si>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</si>
  <si>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</si>
  <si>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</si>
  <si>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</si>
  <si>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</si>
  <si>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</si>
  <si>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</si>
  <si>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</si>
  <si>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</si>
  <si>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</si>
  <si>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</si>
  <si>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</si>
  <si>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</si>
  <si>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</si>
  <si>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</si>
  <si>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</si>
  <si>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</si>
  <si>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</si>
  <si>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</si>
  <si>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</si>
  <si>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</si>
  <si>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</si>
  <si>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</si>
  <si>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</si>
  <si>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</si>
  <si>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</si>
  <si>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</si>
  <si>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</si>
  <si>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</si>
  <si>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</si>
  <si>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</si>
  <si>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</si>
  <si>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</si>
  <si>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</si>
  <si>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</si>
  <si>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</si>
  <si>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</si>
  <si>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</si>
  <si>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</si>
  <si>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</si>
  <si>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</si>
  <si>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</si>
  <si>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</si>
  <si>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</si>
  <si>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</si>
  <si>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</si>
  <si>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</si>
  <si>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</si>
  <si>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</si>
  <si>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</si>
  <si>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</si>
  <si>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</si>
  <si>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</si>
  <si>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</si>
  <si>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</si>
  <si>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</si>
  <si>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</si>
  <si>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</si>
  <si>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</si>
  <si>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</si>
  <si>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</si>
  <si>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</si>
  <si>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</si>
  <si>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</si>
  <si>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</si>
  <si>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</si>
  <si>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</si>
  <si>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</si>
  <si>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</si>
  <si>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</si>
  <si>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</si>
  <si>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</si>
  <si>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</si>
  <si>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</si>
  <si>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</si>
  <si>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</si>
  <si>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</si>
  <si>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</si>
  <si>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</si>
  <si>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</si>
  <si>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</si>
  <si>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</si>
  <si>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</si>
  <si>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</si>
  <si>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</si>
  <si>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</si>
  <si>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</si>
  <si>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</si>
  <si>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</si>
  <si>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</si>
  <si>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</si>
  <si>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</si>
  <si>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</si>
  <si>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</si>
  <si>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</si>
  <si>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</si>
  <si>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</si>
  <si>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</si>
  <si>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</si>
  <si>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</si>
  <si>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</si>
  <si>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</si>
  <si>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</si>
  <si>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</si>
  <si>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</si>
  <si>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</si>
  <si>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</si>
  <si>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</si>
  <si>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</si>
  <si>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</si>
  <si>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</si>
  <si>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</si>
  <si>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</si>
  <si>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</si>
  <si>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</si>
  <si>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</si>
  <si>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</si>
  <si>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</si>
  <si>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</si>
  <si>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</si>
  <si>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</si>
  <si>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</si>
  <si>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</si>
  <si>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</si>
  <si>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</si>
  <si>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</si>
  <si>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</si>
  <si>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</si>
  <si>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</si>
  <si>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</si>
  <si>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</si>
  <si>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</si>
  <si>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</si>
  <si>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</si>
  <si>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</si>
  <si>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</si>
  <si>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</si>
  <si>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</si>
  <si>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</si>
  <si>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</si>
  <si>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</si>
  <si>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</si>
  <si>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</si>
  <si>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</si>
  <si>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</si>
  <si>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</si>
  <si>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</si>
  <si>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</si>
  <si>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</si>
  <si>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</si>
  <si>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</si>
  <si>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</si>
  <si>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</si>
  <si>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</si>
  <si>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</si>
  <si>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</si>
  <si>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</si>
  <si>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</si>
  <si>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</si>
  <si>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</si>
  <si>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</si>
  <si>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</si>
  <si>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</si>
  <si>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</si>
  <si>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</si>
  <si>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</si>
  <si>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</si>
  <si>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</si>
  <si>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</si>
  <si>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</si>
  <si>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</si>
  <si>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</si>
  <si>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</si>
  <si>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</si>
  <si>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</si>
  <si>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</si>
  <si>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</si>
  <si>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</si>
  <si>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</si>
  <si>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</si>
  <si>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</si>
  <si>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</si>
  <si>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</si>
  <si>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</si>
  <si>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</si>
  <si>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</si>
  <si>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</si>
  <si>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</si>
  <si>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</si>
  <si>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</si>
  <si>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</si>
  <si>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</si>
  <si>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</si>
  <si>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</si>
  <si>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</si>
  <si>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</si>
  <si>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</si>
  <si>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</si>
  <si>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</si>
  <si>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</si>
  <si>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</si>
  <si>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</si>
  <si>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</si>
  <si>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</si>
  <si>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</si>
  <si>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</si>
  <si>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</si>
  <si>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</si>
  <si>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</si>
  <si>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</si>
  <si>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</si>
  <si>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</si>
  <si>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</si>
  <si>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</si>
  <si>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</si>
  <si>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</si>
  <si>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</si>
  <si>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</si>
  <si>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</si>
  <si>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</si>
  <si>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</si>
  <si>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</si>
  <si>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</si>
  <si>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</si>
  <si>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</si>
  <si>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</si>
  <si>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</si>
  <si>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</si>
  <si>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</si>
  <si>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</si>
  <si>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</si>
  <si>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</si>
  <si>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</si>
  <si>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</si>
  <si>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</si>
  <si>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</si>
  <si>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</si>
  <si>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</si>
  <si>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</si>
  <si>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</si>
  <si>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</si>
  <si>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</si>
  <si>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</si>
  <si>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</si>
  <si>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</si>
  <si>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</si>
  <si>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</si>
  <si>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</si>
  <si>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</si>
  <si>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</si>
  <si>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</si>
  <si>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</si>
  <si>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</si>
  <si>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</si>
  <si>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</si>
  <si>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</si>
  <si>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</si>
  <si>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</si>
  <si>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</si>
  <si>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</si>
  <si>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</si>
  <si>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</si>
  <si>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</si>
  <si>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</si>
  <si>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</si>
  <si>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</si>
  <si>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</si>
  <si>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</si>
  <si>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</si>
  <si>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</si>
  <si>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</si>
  <si>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</si>
  <si>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</si>
  <si>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</si>
  <si>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</si>
  <si>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</si>
  <si>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</si>
  <si>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</si>
  <si>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</si>
  <si>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</si>
  <si>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</si>
  <si>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</si>
  <si>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</si>
  <si>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</si>
  <si>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</si>
  <si>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</si>
  <si>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</si>
  <si>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</si>
  <si>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</si>
  <si>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</si>
  <si>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</si>
  <si>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</si>
  <si>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</si>
  <si>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</si>
  <si>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</si>
  <si>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</si>
  <si>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</si>
  <si>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</si>
  <si>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</si>
  <si>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</si>
  <si>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</si>
  <si>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</si>
  <si>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</si>
  <si>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</si>
  <si>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</si>
  <si>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</si>
  <si>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</si>
  <si>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</si>
  <si>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</si>
  <si>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</si>
  <si>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</si>
  <si>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</si>
  <si>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</si>
  <si>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</si>
  <si>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</si>
  <si>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</si>
  <si>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</si>
  <si>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</si>
  <si>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</si>
  <si>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</si>
  <si>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</si>
  <si>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</si>
  <si>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</si>
  <si>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</si>
  <si>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</si>
  <si>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</si>
  <si>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</si>
  <si>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</si>
  <si>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</si>
  <si>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</si>
  <si>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</si>
  <si>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</si>
  <si>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</si>
  <si>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</si>
  <si>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</si>
  <si>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</si>
  <si>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</si>
  <si>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</si>
  <si>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</si>
  <si>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</si>
  <si>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</si>
  <si>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</si>
  <si>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</si>
  <si>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</si>
  <si>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</si>
  <si>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</si>
  <si>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</si>
  <si>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</si>
  <si>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</si>
  <si>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</si>
  <si>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</si>
  <si>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</si>
  <si>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</si>
  <si>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</si>
  <si>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</si>
  <si>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</si>
  <si>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</si>
  <si>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</si>
  <si>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</si>
  <si>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</si>
  <si>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</si>
  <si>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</si>
  <si>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</si>
  <si>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</si>
  <si>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</si>
  <si>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</si>
  <si>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</si>
  <si>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</si>
  <si>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</si>
  <si>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</si>
  <si>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</si>
  <si>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</si>
  <si>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</si>
  <si>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</si>
  <si>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</si>
  <si>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</si>
  <si>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</si>
  <si>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</si>
  <si>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</si>
  <si>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</si>
  <si>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</si>
  <si>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</si>
  <si>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</si>
  <si>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</si>
  <si>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</si>
  <si>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</si>
  <si>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</si>
  <si>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</si>
  <si>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</si>
  <si>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</si>
  <si>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</si>
  <si>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</si>
  <si>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</si>
  <si>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</si>
  <si>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</si>
  <si>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</si>
  <si>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</si>
  <si>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</si>
  <si>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</si>
  <si>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</si>
  <si>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</si>
  <si>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</si>
  <si>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</si>
  <si>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</si>
  <si>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</si>
  <si>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</si>
  <si>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</si>
  <si>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</si>
  <si>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</si>
  <si>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</si>
  <si>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</si>
  <si>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</si>
  <si>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</si>
  <si>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</si>
  <si>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</si>
  <si>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</si>
  <si>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</si>
  <si>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</si>
  <si>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</si>
  <si>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</si>
  <si>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</si>
  <si>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</si>
  <si>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</si>
  <si>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</si>
  <si>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</si>
  <si>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</si>
  <si>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</si>
  <si>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</si>
  <si>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</si>
  <si>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</si>
  <si>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</si>
  <si>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</si>
  <si>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</si>
  <si>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</si>
  <si>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</si>
  <si>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</si>
  <si>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</si>
  <si>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</si>
  <si>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</si>
  <si>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</si>
  <si>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</si>
  <si>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</si>
  <si>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</si>
  <si>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</si>
  <si>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</si>
  <si>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</si>
  <si>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</si>
  <si>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</si>
  <si>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</si>
  <si>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</si>
  <si>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</si>
  <si>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</si>
  <si>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</si>
  <si>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</si>
  <si>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</si>
  <si>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</si>
  <si>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</si>
  <si>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</si>
  <si>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</si>
  <si>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</si>
  <si>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</si>
  <si>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</si>
  <si>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</si>
  <si>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</si>
  <si>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</si>
  <si>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</si>
  <si>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</si>
  <si>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</si>
  <si>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</si>
  <si>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</si>
  <si>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</si>
  <si>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</si>
  <si>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</si>
  <si>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</si>
  <si>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</si>
  <si>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</si>
  <si>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</si>
  <si>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</si>
  <si>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</si>
  <si>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</si>
  <si>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</si>
  <si>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</si>
  <si>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</si>
  <si>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</si>
  <si>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</si>
  <si>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</si>
  <si>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</si>
  <si>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</si>
  <si>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</si>
  <si>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</si>
  <si>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</si>
  <si>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</si>
  <si>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</si>
  <si>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</si>
  <si>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</si>
  <si>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</si>
  <si>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</si>
  <si>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</si>
  <si>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</si>
  <si>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</si>
  <si>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</si>
  <si>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</si>
  <si>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</si>
  <si>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</si>
  <si>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</si>
  <si>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</si>
  <si>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</si>
  <si>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</si>
  <si>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</si>
  <si>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</si>
  <si>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</si>
  <si>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</si>
  <si>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</si>
  <si>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</si>
  <si>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</si>
  <si>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</si>
  <si>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</si>
  <si>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</si>
  <si>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</si>
  <si>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</si>
  <si>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</si>
  <si>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</si>
  <si>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</si>
  <si>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</si>
  <si>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</si>
  <si>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</si>
  <si>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</si>
  <si>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</si>
  <si>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</si>
  <si>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</si>
  <si>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</si>
  <si>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</si>
  <si>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</si>
  <si>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</si>
  <si>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</si>
  <si>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</si>
  <si>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</si>
  <si>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</si>
  <si>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</si>
  <si>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</si>
  <si>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</si>
  <si>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</si>
  <si>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</si>
  <si>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</si>
  <si>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</si>
  <si>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</si>
  <si>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</si>
  <si>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</si>
  <si>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</si>
  <si>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</si>
  <si>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</si>
  <si>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</si>
  <si>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</si>
  <si>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</si>
  <si>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</si>
  <si>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</si>
  <si>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</si>
  <si>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</si>
  <si>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</si>
  <si>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</si>
  <si>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</si>
  <si>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</si>
  <si>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</si>
  <si>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</si>
  <si>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</si>
  <si>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</si>
  <si>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</si>
  <si>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</si>
  <si>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</si>
  <si>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</si>
  <si>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</si>
  <si>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</si>
  <si>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</si>
  <si>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</si>
  <si>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</si>
  <si>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</si>
  <si>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</si>
  <si>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</si>
  <si>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</si>
  <si>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</si>
  <si>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</si>
  <si>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</si>
  <si>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</si>
  <si>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</si>
  <si>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</si>
  <si>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</si>
  <si>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</si>
  <si>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</si>
  <si>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</si>
  <si>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</si>
  <si>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</si>
  <si>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</si>
  <si>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</si>
  <si>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</si>
  <si>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</si>
  <si>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</si>
  <si>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</si>
  <si>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</si>
  <si>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</si>
  <si>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</si>
  <si>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</si>
  <si>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</si>
  <si>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</si>
  <si>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</si>
  <si>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</si>
  <si>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</si>
  <si>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</si>
  <si>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</si>
  <si>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</si>
  <si>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</si>
  <si>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</si>
  <si>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</si>
  <si>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</si>
  <si>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</si>
  <si>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</si>
  <si>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</si>
  <si>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</si>
  <si>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</si>
  <si>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</si>
  <si>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</si>
  <si>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</si>
  <si>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</si>
  <si>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</si>
  <si>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</si>
  <si>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</si>
  <si>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</si>
  <si>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</si>
  <si>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</si>
  <si>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</si>
  <si>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</si>
  <si>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</si>
  <si>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</si>
  <si>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</si>
  <si>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</si>
  <si>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</si>
  <si>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</si>
  <si>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</si>
  <si>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</si>
  <si>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</si>
  <si>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</si>
  <si>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</si>
  <si>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</si>
  <si>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</si>
  <si>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</si>
  <si>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</si>
  <si>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</si>
  <si>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</si>
  <si>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</si>
  <si>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</si>
  <si>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</si>
  <si>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</si>
  <si>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</si>
  <si>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</si>
  <si>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</si>
  <si>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</si>
  <si>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</si>
  <si>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</si>
  <si>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</si>
  <si>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</si>
  <si>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</si>
  <si>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</si>
  <si>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</si>
  <si>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</si>
  <si>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</si>
  <si>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</si>
  <si>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</si>
  <si>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</si>
  <si>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</si>
  <si>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</si>
  <si>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</si>
  <si>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</si>
  <si>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</si>
  <si>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</si>
  <si>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</si>
  <si>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</si>
  <si>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</si>
  <si>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</si>
  <si>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</si>
  <si>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</si>
  <si>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</si>
  <si>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</si>
  <si>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</si>
  <si>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</si>
  <si>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</si>
  <si>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</si>
  <si>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</si>
  <si>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</si>
  <si>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</si>
  <si>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</si>
  <si>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</si>
  <si>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</si>
  <si>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</si>
  <si>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</si>
  <si>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</si>
  <si>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</si>
  <si>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</si>
  <si>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</si>
  <si>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</si>
  <si>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</si>
  <si>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</si>
  <si>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</si>
  <si>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</si>
  <si>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</si>
  <si>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</si>
  <si>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</si>
  <si>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</si>
  <si>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</si>
  <si>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</si>
  <si>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</si>
  <si>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</si>
  <si>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</si>
  <si>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</si>
  <si>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</si>
  <si>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</si>
  <si>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</si>
  <si>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</si>
  <si>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</si>
  <si>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</si>
  <si>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</si>
  <si>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</si>
  <si>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</si>
  <si>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</si>
  <si>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</si>
  <si>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</si>
  <si>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</si>
  <si>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</si>
  <si>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</si>
  <si>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</si>
  <si>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</si>
  <si>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</si>
  <si>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</si>
  <si>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</si>
  <si>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</si>
  <si>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</si>
  <si>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</si>
  <si>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</si>
  <si>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</si>
  <si>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</si>
  <si>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</si>
  <si>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</si>
  <si>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</si>
  <si>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</si>
  <si>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</si>
  <si>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</si>
  <si>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</si>
  <si>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</si>
  <si>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</si>
  <si>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</si>
  <si>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</si>
  <si>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</si>
  <si>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</si>
  <si>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</si>
  <si>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</si>
  <si>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</si>
  <si>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</si>
  <si>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</si>
  <si>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</si>
  <si>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</si>
  <si>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</si>
  <si>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</si>
  <si>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</si>
  <si>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</si>
  <si>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</si>
  <si>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</si>
  <si>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</si>
  <si>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</si>
  <si>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</si>
  <si>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</si>
  <si>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</si>
  <si>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</si>
  <si>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</si>
  <si>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</si>
  <si>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</si>
  <si>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</si>
  <si>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</si>
  <si>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</si>
  <si>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</si>
  <si>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</si>
  <si>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</si>
  <si>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</si>
  <si>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</si>
  <si>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</si>
  <si>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</si>
  <si>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</si>
  <si>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</si>
  <si>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</si>
  <si>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</si>
  <si>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</si>
  <si>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</si>
  <si>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</si>
  <si>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</si>
  <si>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</si>
  <si>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</si>
  <si>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</si>
  <si>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</si>
  <si>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</si>
  <si>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</si>
  <si>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</si>
  <si>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</si>
  <si>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</si>
  <si>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</si>
  <si>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</si>
  <si>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</si>
  <si>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</si>
  <si>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</si>
  <si>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</si>
  <si>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</si>
  <si>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</si>
  <si>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</si>
  <si>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</si>
  <si>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</si>
  <si>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</si>
  <si>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</si>
  <si>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</si>
  <si>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</si>
  <si>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</si>
  <si>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</si>
  <si>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</si>
  <si>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</si>
  <si>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</si>
  <si>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</si>
  <si>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</si>
  <si>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</si>
  <si>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</si>
  <si>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</si>
  <si>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</si>
  <si>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</si>
  <si>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</si>
  <si>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</si>
  <si>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</si>
  <si>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</si>
  <si>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</si>
  <si>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</si>
  <si>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</si>
  <si>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</si>
  <si>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</si>
  <si>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</si>
  <si>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</si>
  <si>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</si>
  <si>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</si>
  <si>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</si>
  <si>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</si>
  <si>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</si>
  <si>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</si>
  <si>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</si>
  <si>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</si>
  <si>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</si>
  <si>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</si>
  <si>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</si>
  <si>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</si>
  <si>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</si>
  <si>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</si>
  <si>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</si>
  <si>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</si>
  <si>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</si>
  <si>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</si>
  <si>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</si>
  <si>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</si>
  <si>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</si>
  <si>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</si>
  <si>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</si>
  <si>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</si>
  <si>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</si>
  <si>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</si>
  <si>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</si>
  <si>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</si>
  <si>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</si>
  <si>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</si>
  <si>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</si>
  <si>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</si>
  <si>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</si>
  <si>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</si>
  <si>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</si>
  <si>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</si>
  <si>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</si>
  <si>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</si>
  <si>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</si>
  <si>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</si>
  <si>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</si>
  <si>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</si>
  <si>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</si>
  <si>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</si>
  <si>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</si>
  <si>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</si>
  <si>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</si>
  <si>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</si>
  <si>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</si>
  <si>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</si>
  <si>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</si>
  <si>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</si>
  <si>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</si>
  <si>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</si>
  <si>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</si>
  <si>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</si>
  <si>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</si>
  <si>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</si>
  <si>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</si>
  <si>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</si>
  <si>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</si>
  <si>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</si>
  <si>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</si>
  <si>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</si>
  <si>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</si>
  <si>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</si>
  <si>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</si>
  <si>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</si>
  <si>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</si>
  <si>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</si>
  <si>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</si>
  <si>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</si>
  <si>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</si>
  <si>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</si>
  <si>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</si>
  <si>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</si>
  <si>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</si>
  <si>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</si>
  <si>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</si>
  <si>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</si>
  <si>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</si>
  <si>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</si>
  <si>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</si>
  <si>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</si>
  <si>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</si>
  <si>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</si>
  <si>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</si>
  <si>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</si>
  <si>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</si>
  <si>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</si>
  <si>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</si>
  <si>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</si>
  <si>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</si>
  <si>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</si>
  <si>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</si>
  <si>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</si>
  <si>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</si>
  <si>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</si>
  <si>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</si>
  <si>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</si>
  <si>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</si>
  <si>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</si>
  <si>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</si>
  <si>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</si>
  <si>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</si>
  <si>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</si>
  <si>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</si>
  <si>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</si>
  <si>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</si>
  <si>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</si>
  <si>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</si>
  <si>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</si>
  <si>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</si>
  <si>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</si>
  <si>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</si>
  <si>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</si>
  <si>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</si>
  <si>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</si>
  <si>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</si>
  <si>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</si>
  <si>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</si>
  <si>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</si>
  <si>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</si>
  <si>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</si>
  <si>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</si>
  <si>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</si>
  <si>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</si>
  <si>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</si>
  <si>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</si>
  <si>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</si>
  <si>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</si>
  <si>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</si>
  <si>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</si>
  <si>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</si>
  <si>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</si>
  <si>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</si>
  <si>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</si>
  <si>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</si>
  <si>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</si>
  <si>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</si>
  <si>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</si>
  <si>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</si>
  <si>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</si>
  <si>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</si>
  <si>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</si>
  <si>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</si>
  <si>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</si>
  <si>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</si>
  <si>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</si>
  <si>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</si>
  <si>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</si>
  <si>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</si>
  <si>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</si>
  <si>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</si>
  <si>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</si>
  <si>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</si>
  <si>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</si>
  <si>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</si>
  <si>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</si>
  <si>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</si>
  <si>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</si>
  <si>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</si>
  <si>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</si>
  <si>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</si>
  <si>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</si>
  <si>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</si>
  <si>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</si>
  <si>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</si>
  <si>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</si>
  <si>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</si>
  <si>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</si>
  <si>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</si>
  <si>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</si>
  <si>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</si>
  <si>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</si>
  <si>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</si>
  <si>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</si>
  <si>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</si>
  <si>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</si>
  <si>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</si>
  <si>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</si>
  <si>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</si>
  <si>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</si>
  <si>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</si>
  <si>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</si>
  <si>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</si>
  <si>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</si>
  <si>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</si>
  <si>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</si>
  <si>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</si>
  <si>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</si>
  <si>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</si>
  <si>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</si>
  <si>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</si>
  <si>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</si>
  <si>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</si>
  <si>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</si>
  <si>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</si>
  <si>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</si>
  <si>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</si>
  <si>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</si>
  <si>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</si>
  <si>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</si>
  <si>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</si>
  <si>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</si>
  <si>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</si>
  <si>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</si>
  <si>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</si>
  <si>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</si>
  <si>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</si>
  <si>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</si>
  <si>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</si>
  <si>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</si>
  <si>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</si>
  <si>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</si>
  <si>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</si>
  <si>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</si>
  <si>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</si>
  <si>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</si>
  <si>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</si>
  <si>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</si>
  <si>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</si>
  <si>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</si>
  <si>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</si>
  <si>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</si>
  <si>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</si>
  <si>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</si>
  <si>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</si>
  <si>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</si>
  <si>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</si>
  <si>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</si>
  <si>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</si>
  <si>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</si>
  <si>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</si>
  <si>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</si>
  <si>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</si>
  <si>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</si>
  <si>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</si>
  <si>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</si>
  <si>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</si>
  <si>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</si>
  <si>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</si>
  <si>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</si>
  <si>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</si>
  <si>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</si>
  <si>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</si>
  <si>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</si>
  <si>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</si>
  <si>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</si>
  <si>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</si>
  <si>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</si>
  <si>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</si>
  <si>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</si>
  <si>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</si>
  <si>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</si>
  <si>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</si>
  <si>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</si>
  <si>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</si>
  <si>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</si>
  <si>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</si>
  <si>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</si>
  <si>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</si>
  <si>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</si>
  <si>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</si>
  <si>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</si>
  <si>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</si>
  <si>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</si>
  <si>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</si>
  <si>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</si>
  <si>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</si>
  <si>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</si>
  <si>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</si>
  <si>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</si>
  <si>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</si>
  <si>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</si>
  <si>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</si>
  <si>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</si>
  <si>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</si>
  <si>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</si>
  <si>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</si>
  <si>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</si>
  <si>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</si>
  <si>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</si>
  <si>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</si>
  <si>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</si>
  <si>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</si>
  <si>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</si>
  <si>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</si>
  <si>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</si>
  <si>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</si>
  <si>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</si>
  <si>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</si>
  <si>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</si>
  <si>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</si>
  <si>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</si>
  <si>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</si>
  <si>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</si>
  <si>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</si>
  <si>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</si>
  <si>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</si>
  <si>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</si>
  <si>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</si>
  <si>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</si>
  <si>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</si>
  <si>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</si>
  <si>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</si>
  <si>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</si>
  <si>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</si>
  <si>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</si>
  <si>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</si>
  <si>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</si>
  <si>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</si>
  <si>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</si>
  <si>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</si>
  <si>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</si>
  <si>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</si>
  <si>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</si>
  <si>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</si>
  <si>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</si>
  <si>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</si>
  <si>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</si>
  <si>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</si>
  <si>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</si>
  <si>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</si>
  <si>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</si>
  <si>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</si>
  <si>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</si>
  <si>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</si>
  <si>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</si>
  <si>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</si>
  <si>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</si>
  <si>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</si>
  <si>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</si>
  <si>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</si>
  <si>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</si>
  <si>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</si>
  <si>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</si>
  <si>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</si>
  <si>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</si>
  <si>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</si>
  <si>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</si>
  <si>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</si>
  <si>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</si>
  <si>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</si>
  <si>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</si>
  <si>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</si>
  <si>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</si>
  <si>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</si>
  <si>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</si>
  <si>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</si>
  <si>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</si>
  <si>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</si>
  <si>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</si>
  <si>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</si>
  <si>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</si>
  <si>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</si>
  <si>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</si>
  <si>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</si>
  <si>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</si>
  <si>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</si>
  <si>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</si>
  <si>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</si>
  <si>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</si>
  <si>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</si>
  <si>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</si>
  <si>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</si>
  <si>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</si>
  <si>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</si>
  <si>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</si>
  <si>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</si>
  <si>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</si>
  <si>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</si>
  <si>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</si>
  <si>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</si>
  <si>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</si>
  <si>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</si>
  <si>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</si>
  <si>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</si>
  <si>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</si>
  <si>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</si>
  <si>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</si>
  <si>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</si>
  <si>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</si>
  <si>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</si>
  <si>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</si>
  <si>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</si>
  <si>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</si>
  <si>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</si>
  <si>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</si>
  <si>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</si>
  <si>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</si>
  <si>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</si>
  <si>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</si>
  <si>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</si>
  <si>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</si>
  <si>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</si>
  <si>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</si>
  <si>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</si>
  <si>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</si>
  <si>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</si>
  <si>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</si>
  <si>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</si>
  <si>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</si>
  <si>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</si>
  <si>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</si>
  <si>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</si>
  <si>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</si>
  <si>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</si>
  <si>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</si>
  <si>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</si>
  <si>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</si>
  <si>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</si>
  <si>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</si>
  <si>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</si>
  <si>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</si>
  <si>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</si>
  <si>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</si>
  <si>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</si>
  <si>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</si>
  <si>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</si>
  <si>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</si>
  <si>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</si>
  <si>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</si>
  <si>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</si>
  <si>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</si>
  <si>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</si>
  <si>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</si>
  <si>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</si>
  <si>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</si>
  <si>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</si>
  <si>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</si>
  <si>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</si>
  <si>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</si>
  <si>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</si>
  <si>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</si>
  <si>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</si>
  <si>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</si>
  <si>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</si>
  <si>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</si>
  <si>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</si>
  <si>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</si>
  <si>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</si>
  <si>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</si>
  <si>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</si>
  <si>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</si>
  <si>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</si>
  <si>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</si>
  <si>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</si>
  <si>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</si>
  <si>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</si>
  <si>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</si>
  <si>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</si>
  <si>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</si>
  <si>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</si>
  <si>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</si>
  <si>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</si>
  <si>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</si>
  <si>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</si>
  <si>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</si>
  <si>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</si>
  <si>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</si>
  <si>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</si>
  <si>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</si>
  <si>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</si>
  <si>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</si>
  <si>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</si>
  <si>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</si>
  <si>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</si>
  <si>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</si>
  <si>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</si>
  <si>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</si>
  <si>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</si>
  <si>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</si>
  <si>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</si>
  <si>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</si>
  <si>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</si>
  <si>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</si>
  <si>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</si>
  <si>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</si>
  <si>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</si>
  <si>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</si>
  <si>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</si>
  <si>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</si>
  <si>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</si>
  <si>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</si>
  <si>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</si>
  <si>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</si>
  <si>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</si>
  <si>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</si>
  <si>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</si>
  <si>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</si>
  <si>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</si>
  <si>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</si>
  <si>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</si>
  <si>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</si>
  <si>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</si>
  <si>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</si>
  <si>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</si>
  <si>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</si>
  <si>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</si>
  <si>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</si>
  <si>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</si>
  <si>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</si>
  <si>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</si>
  <si>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</si>
  <si>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</si>
  <si>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</si>
  <si>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</si>
  <si>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</si>
  <si>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</si>
  <si>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</si>
  <si>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</si>
  <si>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</si>
  <si>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</si>
  <si>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</si>
  <si>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</si>
  <si>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</si>
  <si>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</si>
  <si>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</si>
  <si>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</si>
  <si>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</si>
  <si>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</si>
  <si>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</si>
  <si>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</si>
  <si>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</si>
  <si>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</si>
  <si>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</si>
  <si>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</si>
  <si>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</si>
  <si>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</si>
  <si>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</si>
  <si>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</si>
  <si>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</si>
  <si>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</si>
  <si>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</si>
  <si>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</si>
  <si>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</si>
  <si>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</si>
  <si>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</si>
  <si>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</si>
  <si>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</si>
  <si>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</si>
  <si>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</si>
  <si>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</si>
  <si>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</si>
  <si>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</si>
  <si>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</si>
  <si>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</si>
  <si>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</si>
  <si>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</si>
  <si>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</si>
  <si>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</si>
  <si>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</si>
  <si>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</si>
  <si>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</si>
  <si>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</si>
  <si>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</si>
  <si>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</si>
  <si>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</si>
  <si>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</si>
  <si>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</si>
  <si>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</si>
  <si>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</si>
  <si>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</si>
  <si>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</si>
  <si>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</si>
  <si>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</si>
  <si>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</si>
  <si>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</si>
  <si>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</si>
  <si>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</si>
  <si>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</si>
  <si>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</si>
  <si>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</si>
  <si>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</si>
  <si>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</si>
  <si>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</si>
  <si>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</si>
  <si>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</si>
  <si>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</si>
  <si>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</si>
  <si>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</si>
  <si>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</si>
  <si>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</si>
  <si>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</si>
  <si>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</si>
  <si>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</si>
  <si>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</si>
  <si>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</si>
  <si>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</si>
  <si>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</si>
  <si>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</si>
  <si>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</si>
  <si>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</si>
  <si>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</si>
  <si>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</si>
  <si>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</si>
  <si>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</si>
  <si>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</si>
  <si>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</si>
  <si>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</si>
  <si>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</si>
  <si>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</si>
  <si>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</si>
  <si>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</si>
  <si>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</si>
  <si>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</si>
  <si>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</si>
  <si>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</si>
  <si>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</si>
  <si>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</si>
  <si>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</si>
  <si>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</si>
  <si>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</si>
  <si>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</si>
  <si>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</si>
  <si>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</si>
  <si>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</si>
  <si>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</si>
  <si>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</si>
  <si>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</si>
  <si>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</si>
  <si>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</si>
  <si>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</si>
  <si>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</si>
  <si>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</si>
  <si>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</si>
  <si>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</si>
  <si>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</si>
  <si>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</si>
  <si>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</si>
  <si>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</si>
  <si>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</si>
  <si>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</si>
  <si>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</si>
  <si>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</si>
  <si>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</si>
  <si>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</si>
  <si>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</si>
  <si>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</si>
  <si>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</si>
  <si>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</si>
  <si>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</si>
  <si>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</si>
  <si>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</si>
  <si>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</si>
  <si>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</si>
  <si>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</si>
  <si>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</si>
  <si>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</si>
  <si>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</si>
  <si>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</si>
  <si>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</si>
  <si>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</si>
  <si>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</si>
  <si>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</si>
  <si>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</si>
  <si>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</si>
  <si>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</si>
  <si>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</si>
  <si>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</si>
  <si>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</si>
  <si>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</si>
  <si>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</si>
  <si>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</si>
  <si>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</si>
  <si>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</si>
  <si>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</si>
  <si>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</si>
  <si>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</si>
  <si>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</si>
  <si>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</si>
  <si>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</si>
  <si>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</si>
  <si>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</si>
  <si>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</si>
  <si>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</si>
  <si>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</si>
  <si>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</si>
  <si>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</si>
  <si>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</si>
  <si>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</si>
  <si>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</si>
  <si>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</si>
  <si>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</si>
  <si>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</si>
  <si>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</si>
  <si>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</si>
  <si>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</si>
  <si>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</si>
  <si>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</si>
  <si>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</si>
  <si>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</si>
  <si>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</si>
  <si>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</si>
  <si>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</si>
  <si>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</si>
  <si>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</si>
  <si>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</si>
  <si>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</si>
  <si>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</si>
  <si>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</si>
  <si>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</si>
  <si>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</si>
  <si>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</si>
  <si>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</si>
  <si>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</si>
  <si>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</si>
  <si>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</si>
  <si>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</si>
  <si>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</si>
  <si>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</si>
  <si>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</si>
  <si>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</si>
  <si>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</si>
  <si>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</si>
  <si>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</si>
  <si>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</si>
  <si>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</si>
  <si>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</si>
  <si>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</si>
  <si>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</si>
  <si>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</si>
  <si>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</si>
  <si>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</si>
  <si>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</si>
  <si>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</si>
  <si>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</si>
  <si>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</si>
  <si>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</si>
  <si>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</si>
  <si>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</si>
  <si>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</si>
  <si>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</si>
  <si>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</si>
  <si>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</si>
  <si>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</si>
  <si>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</si>
  <si>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</si>
  <si>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</si>
  <si>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</si>
  <si>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</si>
  <si>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</si>
  <si>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</si>
  <si>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</si>
  <si>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</si>
  <si>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</si>
  <si>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</si>
  <si>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</si>
  <si>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</si>
  <si>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</si>
  <si>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</si>
  <si>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</si>
  <si>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</si>
  <si>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</si>
  <si>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</si>
  <si>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</si>
  <si>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</si>
  <si>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</si>
  <si>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</si>
  <si>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</si>
  <si>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</si>
  <si>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</si>
  <si>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</si>
  <si>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</si>
  <si>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</si>
  <si>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</si>
  <si>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</si>
  <si>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</si>
  <si>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</si>
  <si>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</si>
  <si>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</si>
  <si>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</si>
  <si>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</si>
  <si>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</si>
  <si>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</si>
  <si>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</si>
  <si>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</si>
  <si>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</si>
  <si>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</si>
  <si>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</si>
  <si>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</si>
  <si>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</si>
  <si>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</si>
  <si>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</si>
  <si>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</si>
  <si>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</si>
  <si>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</si>
  <si>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</si>
  <si>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</si>
  <si>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</si>
  <si>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</si>
  <si>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</si>
  <si>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</si>
  <si>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</si>
  <si>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</si>
  <si>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</si>
  <si>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</si>
  <si>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</si>
  <si>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</si>
  <si>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</si>
  <si>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</si>
  <si>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</si>
  <si>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</si>
  <si>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</si>
  <si>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</si>
  <si>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</si>
  <si>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</si>
  <si>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</si>
  <si>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</si>
  <si>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</si>
  <si>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</si>
  <si>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</si>
  <si>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</si>
  <si>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</si>
  <si>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</si>
  <si>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</si>
  <si>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</si>
  <si>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</si>
  <si>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</si>
  <si>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</si>
  <si>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</si>
  <si>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</si>
  <si>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</si>
  <si>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</si>
  <si>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</si>
  <si>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</si>
  <si>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</si>
  <si>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</si>
  <si>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</si>
  <si>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</si>
  <si>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</si>
  <si>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</si>
  <si>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</si>
  <si>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</si>
  <si>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</si>
  <si>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</si>
  <si>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</si>
  <si>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</si>
  <si>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</si>
  <si>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</si>
  <si>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</si>
  <si>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</si>
  <si>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</si>
  <si>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</si>
  <si>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</si>
  <si>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</si>
  <si>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</si>
  <si>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</si>
  <si>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</si>
  <si>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</si>
  <si>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</si>
  <si>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</si>
  <si>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</si>
  <si>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</si>
  <si>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</si>
  <si>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</si>
  <si>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</si>
  <si>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</si>
  <si>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</si>
  <si>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</si>
  <si>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</si>
  <si>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</si>
  <si>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</si>
  <si>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</si>
  <si>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</si>
  <si>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</si>
  <si>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</si>
  <si>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</si>
  <si>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</si>
  <si>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</si>
  <si>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</si>
  <si>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</si>
  <si>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</si>
  <si>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</si>
  <si>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</si>
  <si>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</si>
  <si>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</si>
  <si>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</si>
  <si>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</si>
  <si>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</si>
  <si>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</si>
  <si>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</si>
  <si>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</si>
  <si>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</si>
  <si>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</si>
  <si>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</si>
  <si>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</si>
  <si>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</si>
  <si>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</si>
  <si>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</si>
  <si>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</si>
  <si>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</si>
  <si>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</si>
  <si>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</si>
  <si>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</si>
  <si>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</si>
  <si>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</si>
  <si>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</si>
  <si>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</si>
  <si>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</si>
  <si>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</si>
  <si>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</si>
  <si>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</si>
  <si>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</si>
  <si>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</si>
  <si>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</si>
  <si>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</si>
  <si>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</si>
  <si>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</si>
  <si>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</si>
  <si>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</si>
  <si>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</si>
  <si>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</si>
  <si>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</si>
  <si>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</si>
  <si>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</si>
  <si>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</si>
  <si>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</si>
  <si>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</si>
  <si>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</si>
  <si>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</si>
  <si>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</si>
  <si>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</si>
  <si>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</si>
  <si>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</si>
  <si>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</si>
  <si>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</si>
  <si>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</si>
  <si>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</si>
  <si>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</si>
  <si>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</si>
  <si>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</si>
  <si>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</si>
  <si>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</si>
  <si>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</si>
  <si>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</si>
  <si>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</si>
  <si>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</si>
  <si>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</si>
  <si>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</si>
  <si>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</si>
  <si>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</si>
  <si>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</si>
  <si>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</si>
  <si>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</si>
  <si>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</si>
  <si>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</si>
  <si>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</si>
  <si>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</si>
  <si>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</si>
  <si>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</si>
  <si>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</si>
  <si>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</si>
  <si>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</si>
  <si>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</si>
  <si>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</si>
  <si>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</si>
  <si>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</si>
  <si>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</si>
  <si>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</si>
  <si>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</si>
  <si>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</si>
  <si>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</si>
  <si>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</si>
  <si>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</si>
  <si>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</si>
  <si>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</si>
  <si>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</si>
  <si>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</si>
  <si>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</si>
  <si>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</si>
  <si>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</si>
  <si>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</si>
  <si>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</si>
  <si>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</si>
  <si>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</si>
  <si>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</si>
  <si>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</si>
  <si>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</si>
  <si>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</si>
  <si>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</si>
  <si>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</si>
  <si>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</si>
  <si>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</si>
  <si>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</si>
  <si>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</si>
  <si>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</si>
  <si>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</si>
  <si>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</si>
  <si>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</si>
  <si>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</si>
  <si>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</si>
  <si>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</si>
  <si>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</si>
  <si>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</si>
  <si>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</si>
  <si>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</si>
  <si>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</si>
  <si>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</si>
  <si>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</si>
  <si>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</si>
  <si>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</si>
  <si>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</si>
  <si>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</si>
  <si>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</si>
  <si>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</si>
  <si>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</si>
  <si>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</si>
  <si>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</si>
  <si>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</si>
  <si>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</si>
  <si>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</si>
  <si>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</si>
  <si>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</si>
  <si>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</si>
  <si>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</si>
  <si>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</si>
  <si>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</si>
  <si>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</si>
  <si>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</si>
  <si>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</si>
  <si>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</si>
  <si>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</si>
  <si>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</si>
  <si>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</si>
  <si>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</si>
  <si>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</si>
  <si>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</si>
  <si>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</si>
  <si>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</si>
  <si>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</si>
  <si>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</si>
  <si>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</si>
  <si>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</si>
  <si>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</si>
  <si>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</si>
  <si>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</si>
  <si>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</si>
  <si>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</si>
  <si>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</si>
  <si>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</si>
  <si>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</si>
  <si>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</si>
  <si>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</si>
  <si>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</si>
  <si>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</si>
  <si>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</si>
  <si>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</si>
  <si>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</si>
  <si>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</si>
  <si>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</si>
  <si>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</si>
  <si>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</si>
  <si>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</si>
  <si>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</si>
  <si>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</si>
  <si>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</si>
  <si>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</si>
  <si>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</si>
  <si>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</si>
  <si>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</si>
  <si>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</si>
  <si>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</si>
  <si>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</si>
  <si>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</si>
  <si>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</si>
  <si>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</si>
  <si>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</si>
  <si>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</si>
  <si>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</si>
  <si>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</si>
  <si>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</si>
  <si>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</si>
  <si>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</si>
  <si>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</si>
  <si>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</si>
  <si>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</si>
  <si>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</si>
  <si>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</si>
  <si>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</si>
  <si>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</si>
  <si>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</si>
  <si>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</si>
  <si>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</si>
  <si>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</si>
  <si>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</si>
  <si>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</si>
  <si>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</si>
  <si>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</si>
  <si>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</si>
  <si>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</si>
  <si>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</si>
  <si>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</si>
  <si>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</si>
  <si>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</si>
  <si>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</si>
  <si>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</si>
  <si>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</si>
  <si>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</si>
  <si>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</si>
  <si>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</si>
  <si>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</si>
  <si>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</si>
  <si>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</si>
  <si>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</si>
  <si>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</si>
  <si>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</si>
  <si>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</si>
  <si>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</si>
  <si>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</si>
  <si>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</si>
  <si>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</si>
  <si>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</si>
  <si>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</si>
  <si>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</si>
  <si>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</si>
  <si>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</si>
  <si>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</si>
  <si>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</si>
  <si>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</si>
  <si>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</si>
  <si>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</si>
  <si>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</si>
  <si>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</si>
  <si>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</si>
  <si>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</si>
  <si>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</si>
  <si>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</si>
  <si>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</si>
  <si>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</si>
  <si>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</si>
  <si>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</si>
  <si>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</si>
  <si>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</si>
  <si>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</si>
  <si>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</si>
  <si>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</si>
  <si>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</si>
  <si>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</si>
  <si>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</si>
  <si>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</si>
  <si>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</si>
  <si>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</si>
  <si>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</si>
  <si>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</si>
  <si>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</si>
  <si>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</si>
  <si>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</si>
  <si>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</si>
  <si>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</si>
  <si>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</si>
  <si>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</si>
  <si>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</si>
  <si>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</si>
  <si>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</si>
  <si>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</si>
  <si>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</si>
  <si>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</si>
  <si>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</si>
  <si>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</si>
  <si>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</si>
  <si>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</si>
  <si>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</si>
  <si>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</si>
  <si>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</si>
  <si>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</si>
  <si>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</si>
  <si>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</si>
  <si>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</si>
  <si>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</si>
  <si>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</si>
  <si>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</si>
  <si>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</si>
  <si>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</si>
  <si>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</si>
  <si>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</si>
  <si>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</si>
  <si>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</si>
  <si>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</si>
  <si>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</si>
  <si>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</si>
  <si>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</si>
  <si>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</si>
  <si>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</si>
  <si>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</si>
  <si>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</si>
  <si>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</si>
  <si>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</si>
  <si>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</si>
  <si>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</si>
  <si>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</si>
  <si>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</si>
  <si>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</si>
  <si>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</si>
  <si>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</si>
  <si>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</si>
  <si>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</si>
  <si>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</si>
  <si>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</si>
  <si>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</si>
  <si>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</si>
  <si>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</si>
  <si>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</si>
  <si>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</si>
  <si>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</si>
  <si>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</si>
  <si>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</si>
  <si>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</si>
  <si>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</si>
  <si>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</si>
  <si>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</si>
  <si>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</si>
  <si>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</si>
  <si>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</si>
  <si>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</si>
  <si>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</si>
  <si>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</si>
  <si>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</si>
  <si>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</si>
  <si>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</si>
  <si>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</si>
  <si>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</si>
  <si>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</si>
  <si>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</si>
  <si>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</si>
  <si>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</si>
  <si>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</si>
  <si>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</si>
  <si>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</si>
  <si>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</si>
  <si>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</si>
  <si>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</si>
  <si>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</si>
  <si>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</si>
  <si>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</si>
  <si>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</si>
  <si>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</si>
  <si>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</si>
  <si>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</si>
  <si>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</si>
  <si>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</si>
  <si>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</si>
  <si>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</si>
  <si>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</si>
  <si>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</si>
  <si>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</si>
  <si>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</si>
  <si>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</si>
  <si>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</si>
  <si>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</si>
  <si>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</si>
  <si>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</si>
  <si>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</si>
  <si>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</si>
  <si>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</si>
  <si>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</si>
  <si>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</si>
  <si>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</si>
  <si>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</si>
  <si>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</si>
  <si>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</si>
  <si>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</si>
  <si>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</si>
  <si>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</si>
  <si>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</si>
  <si>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</si>
  <si>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</si>
  <si>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</si>
  <si>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</si>
  <si>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</si>
  <si>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</si>
  <si>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</si>
  <si>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</si>
  <si>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</si>
  <si>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</si>
  <si>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</si>
  <si>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</si>
  <si>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</si>
  <si>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</si>
  <si>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</si>
  <si>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</si>
  <si>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</si>
  <si>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</si>
  <si>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</si>
  <si>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</si>
  <si>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</si>
  <si>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</si>
  <si>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</si>
  <si>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</si>
  <si>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</si>
  <si>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</si>
  <si>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</si>
  <si>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</si>
  <si>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</si>
  <si>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</si>
  <si>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</si>
  <si>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</si>
  <si>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</si>
  <si>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</si>
  <si>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</si>
  <si>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</si>
  <si>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</si>
  <si>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</si>
  <si>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</si>
  <si>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</si>
  <si>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</si>
  <si>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</si>
  <si>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</si>
  <si>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</si>
  <si>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</si>
  <si>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</si>
  <si>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</si>
  <si>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</si>
  <si>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</si>
  <si>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</si>
  <si>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</si>
  <si>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</si>
  <si>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</si>
  <si>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</si>
  <si>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</si>
  <si>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</si>
  <si>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</si>
  <si>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</si>
  <si>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</si>
  <si>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</si>
  <si>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</si>
  <si>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</si>
  <si>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</si>
  <si>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</si>
  <si>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</si>
  <si>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</si>
  <si>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</si>
  <si>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</si>
  <si>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</si>
  <si>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</si>
  <si>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</si>
  <si>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</si>
  <si>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</si>
  <si>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</si>
  <si>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</si>
  <si>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</si>
  <si>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</si>
  <si>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</si>
  <si>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</si>
  <si>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</si>
  <si>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</si>
  <si>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</si>
  <si>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</si>
  <si>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</si>
  <si>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</si>
  <si>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</si>
  <si>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</si>
  <si>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</si>
  <si>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</si>
  <si>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</si>
  <si>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</si>
  <si>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</si>
  <si>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</si>
  <si>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</si>
  <si>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</si>
  <si>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</si>
  <si>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</si>
  <si>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</si>
  <si>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</si>
  <si>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</si>
  <si>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</si>
  <si>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</si>
  <si>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</si>
  <si>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</si>
  <si>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</si>
  <si>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</si>
  <si>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</si>
  <si>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</si>
  <si>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</si>
  <si>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</si>
  <si>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</si>
  <si>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</si>
  <si>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</si>
  <si>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</si>
  <si>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</si>
  <si>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</si>
  <si>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</si>
  <si>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</si>
  <si>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</si>
  <si>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</si>
  <si>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</si>
  <si>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</si>
  <si>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</si>
  <si>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</si>
  <si>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</si>
  <si>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</si>
  <si>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</si>
  <si>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</si>
  <si>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</si>
  <si>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</si>
  <si>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</si>
  <si>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</si>
  <si>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</si>
  <si>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</si>
  <si>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</si>
  <si>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</si>
  <si>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</si>
  <si>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</si>
  <si>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</si>
  <si>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</si>
  <si>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</si>
  <si>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</si>
  <si>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</si>
  <si>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</si>
  <si>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</si>
  <si>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</si>
  <si>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</si>
  <si>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</si>
  <si>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</si>
  <si>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</si>
  <si>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</si>
  <si>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</si>
  <si>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</si>
  <si>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</si>
  <si>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</si>
  <si>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</si>
  <si>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</si>
  <si>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</si>
  <si>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</si>
  <si>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</si>
  <si>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</si>
  <si>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</si>
  <si>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</si>
  <si>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</si>
  <si>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</si>
  <si>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</si>
  <si>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</si>
  <si>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</si>
  <si>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</si>
  <si>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</si>
  <si>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</si>
  <si>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</si>
  <si>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</si>
  <si>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</si>
  <si>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</si>
  <si>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</si>
  <si>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</si>
  <si>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</si>
  <si>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</si>
  <si>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</si>
  <si>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</si>
  <si>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</si>
  <si>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</si>
  <si>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</si>
  <si>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</si>
  <si>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</si>
  <si>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</si>
  <si>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</si>
  <si>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</si>
  <si>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</si>
  <si>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</si>
  <si>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</si>
  <si>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</si>
  <si>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</si>
  <si>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</si>
  <si>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</si>
  <si>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</si>
  <si>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</si>
  <si>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</si>
  <si>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</si>
  <si>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</si>
  <si>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</si>
  <si>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</si>
  <si>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</si>
  <si>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</si>
  <si>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</si>
  <si>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</si>
  <si>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</si>
  <si>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</si>
  <si>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</si>
  <si>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</si>
  <si>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</si>
  <si>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</si>
  <si>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</si>
  <si>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</si>
  <si>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</si>
  <si>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</si>
  <si>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</si>
  <si>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</si>
  <si>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</si>
  <si>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</si>
  <si>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</si>
  <si>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</si>
  <si>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</si>
  <si>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</si>
  <si>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</si>
  <si>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</si>
  <si>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</si>
  <si>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</si>
  <si>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</si>
  <si>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</si>
  <si>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</si>
  <si>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</si>
  <si>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</si>
  <si>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</si>
  <si>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</si>
  <si>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</si>
  <si>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</si>
  <si>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</si>
  <si>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</si>
  <si>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</si>
  <si>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</si>
  <si>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</si>
  <si>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</si>
  <si>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</si>
  <si>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</si>
  <si>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</si>
  <si>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</si>
  <si>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</si>
  <si>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</si>
  <si>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</si>
  <si>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</si>
  <si>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</si>
  <si>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</si>
  <si>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</si>
  <si>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</si>
  <si>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</si>
  <si>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</si>
  <si>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</si>
  <si>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</si>
  <si>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</si>
  <si>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</si>
  <si>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</si>
  <si>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</si>
  <si>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</si>
  <si>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</si>
  <si>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</si>
  <si>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</si>
  <si>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</si>
  <si>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</si>
  <si>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</si>
  <si>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</si>
  <si>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</si>
  <si>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</si>
  <si>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</si>
  <si>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</si>
  <si>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</si>
  <si>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</si>
  <si>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</si>
  <si>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</si>
  <si>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</si>
  <si>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</si>
  <si>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</si>
  <si>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</si>
  <si>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</si>
  <si>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</si>
  <si>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</si>
  <si>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</si>
  <si>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</si>
  <si>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</si>
  <si>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</si>
  <si>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</si>
  <si>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</si>
  <si>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</si>
  <si>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</si>
  <si>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</si>
  <si>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</si>
  <si>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</si>
  <si>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</si>
  <si>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</si>
  <si>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</si>
  <si>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</si>
  <si>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</si>
  <si>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</si>
  <si>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</si>
  <si>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</si>
  <si>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</si>
  <si>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</si>
  <si>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</si>
  <si>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</si>
  <si>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</si>
  <si>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</si>
  <si>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</si>
  <si>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</si>
  <si>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</si>
  <si>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</si>
  <si>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</si>
  <si>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</si>
  <si>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</si>
  <si>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</si>
  <si>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</si>
  <si>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</si>
  <si>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</si>
  <si>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</si>
  <si>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</si>
  <si>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</si>
  <si>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</si>
  <si>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</si>
  <si>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</si>
  <si>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</si>
  <si>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</si>
  <si>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</si>
  <si>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</si>
  <si>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</si>
  <si>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</si>
  <si>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</si>
  <si>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</si>
  <si>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</si>
  <si>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</si>
  <si>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</si>
  <si>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</si>
  <si>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</si>
  <si>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</si>
  <si>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</si>
  <si>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</si>
  <si>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</si>
  <si>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</si>
  <si>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</si>
  <si>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</si>
  <si>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</si>
  <si>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</si>
  <si>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</si>
  <si>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</si>
  <si>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</si>
  <si>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</si>
  <si>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</si>
  <si>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</si>
  <si>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</si>
  <si>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</si>
  <si>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</si>
  <si>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</si>
  <si>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</si>
  <si>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</si>
  <si>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</si>
  <si>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</si>
  <si>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</si>
  <si>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</si>
  <si>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</si>
  <si>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</si>
  <si>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</si>
  <si>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</si>
  <si>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</si>
  <si>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</si>
  <si>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</si>
  <si>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</si>
  <si>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</si>
  <si>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</si>
  <si>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</si>
  <si>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</si>
  <si>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</si>
  <si>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</si>
  <si>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</si>
  <si>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</si>
  <si>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</si>
  <si>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</si>
  <si>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</si>
  <si>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</si>
  <si>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</si>
  <si>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</si>
  <si>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</si>
  <si>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</si>
  <si>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</si>
  <si>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</si>
  <si>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</si>
  <si>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</si>
  <si>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</si>
  <si>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</si>
  <si>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</si>
  <si>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</si>
  <si>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</si>
  <si>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</si>
  <si>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</si>
  <si>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</si>
  <si>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</si>
  <si>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</si>
  <si>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</si>
  <si>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</si>
  <si>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</si>
  <si>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</si>
  <si>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</si>
  <si>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</si>
  <si>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</si>
  <si>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</si>
  <si>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</si>
  <si>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</si>
  <si>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</si>
  <si>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</si>
  <si>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</si>
  <si>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</si>
  <si>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</si>
  <si>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</si>
  <si>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</si>
  <si>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</si>
  <si>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</si>
  <si>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</si>
  <si>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</si>
  <si>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</si>
  <si>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</si>
  <si>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</si>
  <si>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</si>
  <si>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</si>
  <si>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</si>
  <si>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</si>
  <si>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</si>
  <si>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</si>
  <si>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</si>
  <si>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</si>
  <si>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</si>
  <si>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</si>
  <si>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</si>
  <si>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</si>
  <si>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</si>
  <si>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</si>
  <si>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</si>
  <si>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</si>
  <si>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</si>
  <si>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</si>
  <si>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</si>
  <si>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</si>
  <si>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</si>
  <si>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</si>
  <si>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</si>
  <si>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</si>
  <si>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</si>
  <si>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</si>
  <si>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</si>
  <si>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</si>
  <si>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</si>
  <si>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</si>
  <si>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</si>
  <si>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</si>
  <si>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</si>
  <si>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</si>
  <si>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</si>
  <si>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</si>
  <si>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</si>
  <si>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</si>
  <si>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</si>
  <si>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</si>
  <si>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</si>
  <si>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</si>
  <si>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</si>
  <si>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</si>
  <si>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</si>
  <si>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</si>
  <si>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</si>
  <si>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</si>
  <si>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</si>
  <si>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</si>
  <si>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</si>
  <si>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</si>
  <si>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</si>
  <si>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</si>
  <si>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</si>
  <si>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</si>
  <si>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</si>
  <si>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</si>
  <si>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</si>
  <si>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</si>
  <si>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</si>
  <si>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</si>
  <si>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</si>
  <si>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</si>
  <si>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</si>
  <si>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</si>
  <si>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</si>
  <si>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</si>
  <si>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</si>
  <si>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</si>
  <si>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</si>
  <si>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</si>
  <si>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</si>
  <si>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</si>
  <si>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</si>
  <si>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</si>
  <si>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</si>
  <si>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</si>
  <si>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</si>
  <si>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</si>
  <si>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</si>
  <si>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</si>
  <si>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</si>
  <si>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</si>
  <si>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</si>
  <si>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</si>
  <si>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</si>
  <si>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</si>
  <si>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</si>
  <si>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</si>
  <si>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</si>
  <si>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</si>
  <si>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</si>
  <si>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</si>
  <si>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</si>
  <si>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</si>
  <si>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</si>
  <si>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</si>
  <si>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</si>
  <si>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</si>
  <si>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</si>
  <si>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</si>
  <si>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</si>
  <si>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</si>
  <si>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</si>
  <si>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</si>
  <si>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</si>
  <si>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</si>
  <si>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</si>
  <si>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</si>
  <si>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</si>
  <si>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</si>
  <si>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</si>
  <si>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</si>
  <si>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</si>
  <si>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</si>
  <si>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</si>
  <si>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</si>
  <si>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</si>
  <si>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</si>
  <si>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</si>
  <si>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</si>
  <si>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</si>
  <si>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</si>
  <si>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</si>
  <si>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</si>
  <si>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</si>
  <si>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</si>
  <si>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</si>
  <si>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</si>
  <si>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</si>
  <si>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</si>
  <si>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</si>
  <si>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</si>
  <si>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</si>
  <si>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</si>
  <si>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</si>
  <si>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</si>
  <si>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</si>
  <si>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</si>
  <si>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</si>
  <si>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</si>
  <si>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</si>
  <si>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</si>
  <si>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</si>
  <si>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</si>
  <si>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</si>
  <si>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</si>
  <si>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</si>
  <si>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</si>
  <si>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</si>
  <si>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</si>
  <si>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</si>
  <si>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</si>
  <si>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</si>
  <si>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</si>
  <si>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</si>
  <si>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</si>
  <si>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</si>
  <si>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</si>
  <si>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</si>
  <si>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</si>
  <si>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</si>
  <si>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</si>
  <si>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</si>
  <si>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</si>
  <si>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</si>
  <si>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</si>
  <si>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</si>
  <si>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</si>
  <si>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</si>
  <si>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</si>
  <si>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</si>
  <si>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</si>
  <si>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</si>
  <si>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</si>
  <si>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</si>
  <si>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</si>
  <si>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</si>
  <si>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</si>
  <si>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</si>
  <si>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</si>
  <si>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</si>
  <si>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</si>
  <si>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</si>
  <si>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</si>
  <si>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</si>
  <si>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</si>
  <si>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</si>
  <si>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</si>
  <si>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</si>
  <si>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</si>
  <si>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</si>
  <si>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</si>
  <si>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</si>
  <si>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</si>
  <si>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</si>
  <si>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</si>
  <si>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</si>
  <si>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</si>
  <si>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</si>
  <si>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</si>
  <si>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</si>
  <si>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</si>
  <si>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</si>
  <si>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</si>
  <si>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</si>
  <si>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</si>
  <si>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</si>
  <si>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</si>
  <si>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</si>
  <si>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</si>
  <si>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</si>
  <si>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</si>
  <si>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</si>
  <si>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</si>
  <si>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</si>
  <si>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</si>
  <si>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</si>
  <si>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</si>
  <si>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</si>
  <si>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</si>
  <si>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</si>
  <si>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</si>
  <si>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</si>
  <si>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</si>
  <si>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</si>
  <si>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</si>
  <si>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</si>
  <si>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</si>
  <si>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</si>
  <si>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</si>
  <si>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</si>
  <si>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</si>
  <si>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</si>
  <si>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</si>
  <si>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</si>
  <si>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</si>
  <si>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</si>
  <si>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</si>
  <si>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</si>
  <si>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</si>
  <si>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</si>
  <si>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</si>
  <si>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</si>
  <si>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</si>
  <si>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</si>
  <si>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</si>
  <si>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</si>
  <si>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</si>
  <si>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</si>
  <si>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</si>
  <si>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</si>
  <si>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</si>
  <si>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</si>
  <si>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</si>
  <si>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</si>
  <si>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</si>
  <si>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</si>
  <si>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</si>
  <si>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</si>
  <si>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</si>
  <si>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</si>
  <si>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</si>
  <si>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</si>
  <si>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</si>
  <si>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</si>
  <si>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</si>
  <si>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</si>
  <si>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</si>
  <si>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</si>
  <si>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</si>
  <si>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</si>
  <si>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</si>
  <si>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</si>
  <si>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</si>
  <si>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</si>
  <si>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</si>
  <si>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</si>
  <si>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</si>
  <si>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</si>
  <si>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</si>
  <si>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</si>
  <si>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</si>
  <si>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</si>
  <si>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</si>
  <si>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</si>
  <si>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</si>
  <si>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</si>
  <si>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</si>
  <si>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</si>
  <si>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</si>
  <si>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</si>
  <si>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</si>
  <si>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</si>
  <si>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</si>
  <si>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</si>
  <si>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</si>
  <si>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</si>
  <si>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</si>
  <si>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</si>
  <si>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</si>
  <si>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</si>
  <si>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</si>
  <si>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</si>
  <si>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</si>
  <si>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</si>
  <si>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</si>
  <si>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</si>
  <si>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</si>
  <si>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</si>
  <si>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</si>
  <si>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</si>
  <si>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</si>
  <si>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</si>
  <si>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</si>
  <si>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</si>
  <si>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</si>
  <si>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</si>
  <si>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</si>
  <si>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</si>
  <si>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</si>
  <si>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</si>
  <si>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</si>
  <si>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</si>
  <si>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</si>
  <si>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</si>
  <si>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</si>
  <si>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</si>
  <si>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</si>
  <si>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</si>
  <si>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</si>
  <si>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</si>
  <si>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</si>
  <si>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</si>
  <si>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</si>
  <si>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</si>
  <si>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</si>
  <si>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</si>
  <si>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</si>
  <si>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</si>
  <si>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</si>
  <si>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</si>
  <si>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</si>
  <si>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</si>
  <si>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</si>
  <si>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</si>
  <si>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</si>
  <si>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</si>
  <si>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</si>
  <si>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</si>
  <si>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</si>
  <si>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</si>
  <si>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</si>
  <si>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</si>
  <si>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</si>
  <si>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</si>
  <si>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</si>
  <si>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</si>
  <si>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</si>
  <si>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</si>
  <si>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</si>
  <si>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</si>
  <si>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</si>
  <si>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</si>
  <si>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</si>
  <si>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</si>
  <si>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</si>
  <si>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</si>
  <si>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</si>
  <si>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</si>
  <si>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</si>
  <si>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</si>
  <si>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</si>
  <si>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</si>
  <si>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</si>
  <si>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</si>
  <si>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</si>
  <si>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</si>
  <si>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</si>
  <si>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</si>
  <si>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</si>
  <si>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</si>
  <si>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</si>
  <si>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</si>
  <si>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</si>
  <si>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</si>
  <si>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</si>
  <si>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</si>
  <si>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</si>
  <si>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</si>
  <si>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</si>
  <si>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</si>
  <si>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</si>
  <si>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</si>
  <si>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</si>
  <si>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</si>
  <si>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</si>
  <si>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</si>
  <si>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</si>
  <si>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</si>
  <si>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</si>
  <si>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</si>
  <si>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</si>
  <si>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</si>
  <si>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</si>
  <si>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</si>
  <si>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</si>
  <si>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</si>
  <si>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</si>
  <si>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</si>
  <si>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</si>
  <si>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</si>
  <si>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</si>
  <si>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</si>
  <si>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</si>
  <si>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</si>
  <si>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</si>
  <si>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</si>
  <si>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</si>
  <si>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</si>
  <si>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</si>
  <si>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</si>
  <si>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</si>
  <si>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</si>
  <si>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</si>
  <si>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</si>
  <si>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</si>
  <si>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</si>
  <si>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</si>
  <si>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</si>
  <si>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</si>
  <si>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</si>
  <si>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</si>
  <si>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</si>
  <si>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</si>
  <si>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</si>
  <si>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</si>
  <si>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</si>
  <si>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</si>
  <si>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</si>
  <si>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</si>
  <si>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</si>
  <si>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</si>
  <si>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</si>
  <si>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</si>
  <si>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</si>
  <si>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</si>
  <si>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</si>
  <si>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</si>
  <si>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</si>
  <si>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</si>
  <si>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</si>
  <si>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</si>
  <si>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</si>
  <si>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</si>
  <si>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</si>
  <si>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</si>
  <si>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</si>
  <si>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</si>
  <si>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</si>
  <si>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</si>
  <si>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</si>
  <si>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</si>
  <si>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</si>
  <si>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</si>
  <si>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</si>
  <si>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</si>
  <si>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</si>
  <si>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</si>
  <si>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</si>
  <si>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</si>
  <si>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</si>
  <si>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</si>
  <si>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</si>
  <si>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</si>
  <si>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</si>
  <si>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</si>
  <si>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</si>
  <si>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</si>
  <si>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</si>
  <si>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</si>
  <si>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</si>
  <si>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</si>
  <si>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</si>
  <si>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</si>
  <si>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</si>
  <si>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</si>
  <si>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</si>
  <si>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</si>
  <si>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</si>
  <si>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</si>
  <si>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</si>
  <si>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</si>
  <si>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</si>
  <si>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</si>
  <si>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</si>
  <si>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</si>
  <si>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</si>
  <si>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</si>
  <si>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</si>
  <si>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</si>
  <si>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</si>
  <si>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</si>
  <si>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</si>
  <si>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</si>
  <si>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</si>
  <si>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</si>
  <si>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</si>
  <si>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</si>
  <si>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</si>
  <si>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</si>
  <si>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</si>
  <si>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</si>
  <si>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</si>
  <si>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</si>
  <si>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</si>
  <si>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</si>
  <si>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</si>
  <si>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</si>
  <si>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</si>
  <si>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</si>
  <si>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</si>
  <si>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</si>
  <si>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</si>
  <si>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</si>
  <si>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</si>
  <si>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</si>
  <si>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</si>
  <si>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</si>
  <si>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</si>
  <si>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</si>
  <si>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</si>
  <si>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</si>
  <si>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</si>
  <si>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</si>
  <si>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</si>
  <si>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</si>
  <si>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</si>
  <si>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</si>
  <si>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</si>
  <si>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</si>
  <si>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</si>
  <si>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</si>
  <si>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</si>
  <si>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</si>
  <si>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</si>
  <si>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</si>
  <si>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</si>
  <si>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</si>
  <si>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</si>
  <si>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</si>
  <si>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</si>
  <si>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</si>
  <si>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</si>
  <si>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</si>
  <si>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</si>
  <si>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</si>
  <si>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</si>
  <si>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</si>
  <si>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</si>
  <si>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</si>
  <si>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</si>
  <si>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</si>
  <si>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</si>
  <si>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</si>
  <si>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</si>
  <si>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</si>
  <si>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</si>
  <si>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</si>
  <si>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</si>
  <si>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</si>
  <si>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</si>
  <si>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</si>
  <si>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</si>
  <si>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</si>
  <si>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</si>
  <si>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</si>
  <si>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</si>
  <si>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</si>
  <si>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</si>
  <si>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</si>
  <si>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</si>
  <si>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</si>
  <si>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</si>
  <si>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</si>
  <si>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</si>
  <si>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</si>
  <si>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</si>
  <si>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</si>
  <si>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</si>
  <si>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</si>
  <si>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</si>
  <si>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</si>
  <si>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</si>
  <si>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</si>
  <si>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</si>
  <si>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</si>
  <si>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</si>
  <si>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</si>
  <si>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</si>
  <si>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</si>
  <si>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</si>
  <si>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</si>
  <si>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</si>
  <si>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</si>
  <si>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</si>
  <si>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</si>
  <si>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</si>
  <si>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</si>
  <si>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</si>
  <si>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</si>
  <si>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</si>
  <si>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</si>
  <si>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</si>
  <si>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</si>
  <si>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</si>
  <si>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</si>
  <si>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</si>
  <si>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</si>
  <si>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</si>
  <si>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</si>
  <si>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</si>
  <si>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</si>
  <si>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</si>
  <si>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</si>
  <si>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</si>
  <si>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</si>
  <si>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</si>
  <si>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</si>
  <si>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</si>
  <si>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</si>
  <si>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</si>
  <si>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</si>
  <si>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</si>
  <si>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</si>
  <si>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</si>
  <si>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</si>
  <si>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</si>
  <si>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</si>
  <si>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</si>
  <si>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</si>
  <si>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</si>
  <si>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</si>
  <si>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</si>
  <si>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</si>
  <si>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</si>
  <si>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</si>
  <si>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</si>
  <si>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</si>
  <si>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</si>
  <si>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</si>
  <si>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</si>
  <si>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</si>
  <si>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</si>
  <si>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</si>
  <si>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</si>
  <si>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</si>
  <si>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</si>
  <si>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</si>
  <si>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</si>
  <si>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</si>
  <si>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</si>
  <si>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</si>
  <si>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</si>
  <si>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</si>
  <si>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</si>
  <si>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</si>
  <si>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</si>
  <si>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</si>
  <si>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</si>
  <si>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</si>
  <si>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</si>
  <si>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</si>
  <si>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</si>
  <si>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</si>
  <si>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</si>
  <si>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</si>
  <si>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</si>
  <si>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</si>
  <si>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</si>
  <si>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</si>
  <si>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</si>
  <si>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</si>
  <si>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</si>
  <si>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</si>
  <si>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</si>
  <si>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</si>
  <si>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</si>
  <si>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</si>
  <si>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</si>
  <si>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</si>
  <si>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</si>
  <si>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</si>
  <si>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</si>
  <si>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</si>
  <si>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</si>
  <si>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</si>
  <si>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</si>
  <si>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</si>
  <si>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</si>
  <si>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</si>
  <si>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</si>
  <si>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</si>
  <si>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</si>
  <si>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</si>
  <si>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</si>
  <si>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</si>
  <si>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</si>
  <si>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</si>
  <si>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</si>
  <si>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</si>
  <si>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</si>
  <si>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</si>
  <si>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</si>
  <si>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</si>
  <si>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</si>
  <si>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</si>
  <si>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</si>
  <si>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</si>
  <si>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</si>
  <si>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</si>
  <si>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</si>
  <si>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</si>
  <si>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</si>
  <si>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</si>
  <si>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</si>
  <si>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</si>
  <si>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</si>
  <si>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</si>
  <si>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</si>
  <si>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</si>
  <si>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</si>
  <si>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</si>
  <si>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</si>
  <si>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</si>
  <si>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</si>
  <si>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</si>
  <si>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</si>
  <si>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</si>
  <si>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</si>
  <si>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</si>
  <si>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</si>
  <si>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</si>
  <si>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</si>
  <si>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</si>
  <si>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</si>
  <si>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</si>
  <si>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</si>
  <si>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</si>
  <si>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</si>
  <si>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</si>
  <si>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</si>
  <si>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</si>
  <si>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</si>
  <si>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</si>
  <si>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</si>
  <si>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</si>
  <si>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</si>
  <si>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</si>
  <si>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</si>
  <si>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</si>
  <si>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</si>
  <si>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</si>
  <si>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</si>
  <si>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</si>
  <si>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</si>
  <si>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</si>
  <si>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</si>
  <si>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</si>
  <si>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</si>
  <si>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</si>
  <si>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</si>
  <si>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</si>
  <si>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</si>
  <si>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</si>
  <si>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</si>
  <si>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</si>
  <si>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</si>
  <si>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</si>
  <si>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</si>
  <si>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</si>
  <si>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</si>
  <si>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</si>
  <si>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</si>
  <si>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</si>
  <si>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</si>
  <si>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</si>
  <si>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</si>
  <si>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</si>
  <si>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</si>
  <si>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</si>
  <si>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</si>
  <si>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</si>
  <si>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</si>
  <si>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</si>
  <si>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</si>
  <si>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</si>
  <si>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</si>
  <si>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</si>
  <si>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</si>
  <si>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</si>
  <si>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</si>
  <si>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</si>
  <si>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</si>
  <si>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</si>
  <si>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</si>
  <si>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</si>
  <si>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</si>
  <si>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</si>
  <si>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</si>
  <si>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</si>
  <si>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</si>
  <si>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</si>
  <si>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</si>
  <si>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</si>
  <si>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</si>
  <si>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</si>
  <si>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</si>
  <si>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</si>
  <si>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</si>
  <si>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</si>
  <si>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</si>
  <si>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</si>
  <si>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</si>
  <si>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</si>
  <si>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</si>
  <si>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</si>
  <si>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</si>
  <si>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</si>
  <si>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</si>
  <si>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</si>
  <si>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</si>
  <si>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</si>
  <si>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</si>
  <si>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</si>
  <si>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</si>
  <si>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</si>
  <si>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</si>
  <si>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</si>
  <si>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</si>
  <si>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</si>
  <si>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</si>
  <si>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</si>
  <si>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</si>
  <si>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</si>
  <si>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</si>
  <si>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</si>
  <si>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</si>
  <si>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</si>
  <si>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</si>
  <si>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</si>
  <si>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</si>
  <si>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</si>
  <si>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</si>
  <si>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</si>
  <si>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</si>
  <si>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</si>
  <si>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</si>
  <si>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</si>
  <si>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</si>
  <si>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</si>
  <si>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</si>
  <si>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</si>
  <si>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</si>
  <si>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</si>
  <si>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</si>
  <si>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</si>
  <si>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</si>
  <si>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</si>
  <si>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</si>
  <si>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</si>
  <si>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</si>
  <si>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</si>
  <si>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</si>
  <si>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</si>
  <si>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</si>
  <si>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</si>
  <si>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</si>
  <si>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</si>
  <si>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</si>
  <si>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</si>
  <si>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</si>
  <si>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</si>
  <si>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</si>
  <si>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</si>
  <si>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</si>
  <si>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</si>
  <si>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</si>
  <si>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</si>
  <si>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</si>
  <si>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</si>
  <si>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</si>
  <si>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</si>
  <si>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</si>
  <si>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</si>
  <si>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</si>
  <si>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</si>
  <si>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</si>
  <si>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</si>
  <si>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</si>
  <si>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</si>
  <si>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</si>
  <si>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</si>
  <si>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</si>
  <si>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</si>
  <si>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</si>
  <si>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</si>
  <si>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</si>
  <si>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</si>
  <si>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</si>
  <si>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</si>
  <si>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</si>
  <si>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</si>
  <si>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</si>
  <si>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</si>
  <si>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</si>
  <si>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</si>
  <si>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</si>
  <si>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</si>
  <si>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</si>
  <si>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</si>
  <si>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</si>
  <si>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</si>
  <si>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</si>
  <si>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</si>
  <si>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</si>
  <si>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</si>
  <si>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</si>
  <si>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</si>
  <si>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</si>
  <si>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</si>
  <si>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</si>
  <si>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</si>
  <si>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</si>
  <si>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</si>
  <si>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</si>
  <si>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</si>
  <si>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</si>
  <si>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</si>
  <si>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</si>
  <si>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</si>
  <si>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</si>
  <si>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</si>
  <si>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</si>
  <si>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</si>
  <si>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</si>
  <si>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</si>
  <si>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</si>
  <si>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</si>
  <si>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</si>
  <si>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</si>
  <si>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</si>
  <si>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</si>
  <si>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</si>
  <si>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</si>
  <si>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</si>
  <si>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</si>
  <si>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</si>
  <si>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</si>
  <si>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</si>
  <si>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</si>
  <si>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</si>
  <si>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</si>
  <si>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</si>
  <si>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</si>
  <si>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</si>
  <si>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</si>
  <si>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</si>
  <si>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</si>
  <si>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</si>
  <si>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</si>
  <si>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</si>
  <si>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</si>
  <si>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</si>
  <si>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</si>
  <si>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</si>
  <si>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</si>
  <si>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</si>
  <si>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</si>
  <si>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</si>
  <si>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</si>
  <si>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</si>
  <si>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</si>
  <si>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</si>
  <si>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</si>
  <si>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</si>
  <si>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</si>
  <si>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</si>
  <si>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</si>
  <si>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</si>
  <si>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</si>
  <si>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</si>
  <si>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</si>
  <si>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</si>
  <si>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</si>
  <si>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</si>
  <si>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</si>
  <si>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</si>
  <si>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</si>
  <si>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</si>
  <si>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</si>
  <si>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</si>
  <si>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</si>
  <si>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</si>
  <si>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</si>
  <si>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</si>
  <si>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</si>
  <si>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</si>
  <si>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</si>
  <si>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</si>
  <si>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</si>
  <si>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</si>
  <si>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</si>
  <si>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</si>
  <si>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</si>
  <si>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</si>
  <si>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</si>
  <si>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</si>
  <si>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</si>
  <si>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</si>
  <si>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</si>
  <si>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</si>
  <si>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</si>
  <si>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</si>
  <si>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</si>
  <si>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</si>
  <si>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</si>
  <si>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</si>
  <si>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</si>
  <si>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</si>
  <si>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</si>
  <si>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</si>
  <si>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</si>
  <si>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</si>
  <si>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</si>
  <si>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</si>
  <si>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</si>
  <si>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</si>
  <si>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</si>
  <si>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</si>
  <si>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</si>
  <si>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</si>
  <si>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</si>
  <si>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</si>
  <si>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</si>
  <si>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</si>
  <si>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</si>
  <si>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</si>
  <si>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</si>
  <si>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</si>
  <si>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</si>
  <si>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</si>
  <si>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</si>
  <si>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</si>
  <si>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</si>
  <si>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</si>
  <si>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</si>
  <si>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</si>
  <si>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</si>
  <si>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</si>
  <si>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</si>
  <si>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</si>
  <si>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</si>
  <si>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</si>
  <si>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</si>
  <si>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</si>
  <si>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</si>
  <si>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</si>
  <si>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</si>
  <si>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</si>
  <si>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</si>
  <si>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</si>
  <si>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</si>
  <si>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</si>
  <si>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</si>
  <si>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</si>
  <si>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</si>
  <si>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</si>
  <si>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</si>
  <si>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</si>
  <si>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</si>
  <si>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</si>
  <si>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</si>
  <si>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</si>
  <si>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</si>
  <si>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</si>
  <si>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</si>
  <si>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</si>
  <si>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</si>
  <si>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</si>
  <si>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</si>
  <si>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</si>
  <si>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</si>
  <si>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</si>
  <si>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</si>
  <si>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</si>
  <si>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</si>
  <si>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</si>
  <si>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</si>
  <si>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</si>
  <si>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</si>
  <si>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</si>
  <si>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</si>
  <si>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</si>
  <si>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</si>
  <si>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</si>
  <si>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</si>
  <si>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</si>
  <si>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</si>
  <si>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</si>
  <si>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</si>
  <si>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</si>
  <si>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</si>
  <si>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</si>
  <si>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</si>
  <si>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</si>
  <si>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</si>
  <si>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</si>
  <si>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</si>
  <si>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</si>
  <si>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</si>
  <si>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</si>
  <si>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</si>
  <si>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</si>
  <si>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</si>
  <si>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</si>
  <si>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</si>
  <si>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</si>
  <si>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</si>
  <si>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</si>
  <si>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</si>
  <si>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</si>
  <si>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</si>
  <si>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</si>
  <si>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</si>
  <si>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</si>
  <si>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</si>
  <si>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</si>
  <si>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</si>
  <si>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</si>
  <si>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</si>
  <si>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</si>
  <si>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</si>
  <si>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</si>
  <si>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</si>
  <si>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</si>
  <si>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</si>
  <si>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</si>
  <si>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</si>
  <si>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</si>
  <si>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</si>
  <si>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</si>
  <si>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</si>
  <si>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</si>
  <si>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</si>
  <si>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</si>
  <si>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</si>
  <si>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</si>
  <si>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</si>
  <si>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</si>
  <si>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</si>
  <si>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</si>
  <si>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</si>
  <si>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</si>
  <si>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</si>
  <si>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</si>
  <si>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</si>
  <si>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</si>
  <si>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</si>
  <si>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</si>
  <si>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</si>
  <si>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</si>
  <si>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</si>
  <si>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</si>
  <si>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</si>
  <si>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</si>
  <si>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</si>
  <si>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</si>
  <si>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</si>
  <si>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</si>
  <si>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</si>
  <si>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</si>
  <si>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</si>
  <si>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</si>
  <si>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</si>
  <si>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</si>
  <si>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</si>
  <si>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</si>
  <si>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</si>
  <si>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</si>
  <si>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</si>
  <si>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</si>
  <si>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</si>
  <si>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</si>
  <si>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</si>
  <si>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</si>
  <si>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</si>
  <si>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</si>
  <si>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</si>
  <si>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</si>
  <si>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</si>
  <si>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</si>
  <si>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</si>
  <si>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</si>
  <si>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</si>
  <si>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</si>
  <si>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</si>
  <si>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</si>
  <si>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</si>
  <si>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</si>
  <si>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</si>
  <si>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</si>
  <si>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</si>
  <si>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</si>
  <si>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</si>
  <si>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</si>
  <si>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</si>
  <si>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</si>
  <si>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</si>
  <si>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</si>
  <si>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</si>
  <si>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</si>
  <si>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</si>
  <si>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</si>
  <si>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</si>
  <si>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</si>
  <si>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</si>
  <si>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</si>
  <si>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</si>
  <si>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</si>
  <si>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</si>
  <si>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</si>
  <si>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</si>
  <si>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</si>
  <si>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</si>
  <si>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</si>
  <si>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</si>
  <si>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</si>
  <si>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</si>
  <si>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</si>
  <si>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</si>
  <si>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</si>
  <si>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</si>
  <si>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</si>
  <si>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</si>
  <si>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</si>
  <si>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</si>
  <si>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</si>
  <si>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</si>
  <si>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</si>
  <si>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</si>
  <si>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</si>
  <si>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</si>
  <si>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</si>
  <si>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</si>
  <si>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</si>
  <si>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</si>
  <si>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</si>
  <si>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</si>
  <si>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</si>
  <si>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</si>
  <si>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</si>
  <si>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</si>
  <si>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</si>
  <si>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</si>
  <si>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</si>
  <si>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</si>
  <si>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</si>
  <si>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</si>
  <si>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</si>
  <si>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</si>
  <si>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</si>
  <si>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</si>
  <si>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</si>
  <si>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</si>
  <si>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</si>
  <si>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</si>
  <si>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</si>
  <si>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</si>
  <si>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</si>
  <si>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</si>
  <si>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</si>
  <si>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</si>
  <si>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</si>
  <si>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</si>
  <si>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</si>
  <si>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</si>
  <si>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</si>
  <si>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</si>
  <si>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</si>
  <si>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</si>
  <si>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</si>
  <si>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</si>
  <si>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</si>
  <si>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</si>
  <si>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</si>
  <si>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</si>
  <si>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</si>
  <si>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</si>
  <si>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</si>
  <si>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</si>
  <si>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</si>
  <si>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</si>
  <si>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</si>
  <si>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</si>
  <si>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</si>
  <si>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</si>
  <si>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</si>
  <si>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</si>
  <si>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</si>
  <si>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</si>
  <si>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</si>
  <si>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</si>
  <si>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</si>
  <si>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</si>
  <si>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</si>
  <si>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</si>
  <si>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</si>
  <si>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</si>
  <si>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</si>
  <si>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</si>
  <si>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</si>
  <si>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</si>
  <si>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</si>
  <si>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</si>
  <si>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</si>
  <si>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</si>
  <si>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</si>
  <si>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</si>
  <si>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</si>
  <si>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</si>
  <si>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</si>
  <si>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</si>
  <si>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</si>
  <si>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</si>
  <si>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</si>
  <si>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</si>
  <si>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</si>
  <si>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</si>
  <si>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</si>
  <si>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</si>
  <si>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</si>
  <si>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</si>
  <si>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</si>
  <si>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</si>
  <si>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</si>
  <si>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</si>
  <si>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</si>
  <si>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</si>
  <si>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</si>
  <si>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</si>
  <si>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</si>
  <si>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</si>
  <si>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</si>
  <si>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</si>
  <si>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</si>
  <si>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</si>
  <si>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</si>
  <si>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</si>
  <si>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</si>
  <si>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</si>
  <si>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</si>
  <si>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</si>
  <si>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</si>
  <si>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</si>
  <si>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</si>
  <si>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</si>
  <si>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</si>
  <si>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</si>
  <si>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</si>
  <si>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</si>
  <si>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</si>
  <si>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</si>
  <si>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</si>
  <si>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</si>
  <si>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</si>
  <si>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</si>
  <si>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</si>
  <si>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</si>
  <si>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</si>
  <si>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</si>
  <si>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</si>
  <si>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</si>
  <si>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</si>
  <si>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</si>
  <si>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</si>
  <si>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</si>
  <si>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</si>
  <si>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</si>
  <si>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</si>
  <si>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</si>
  <si>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</si>
  <si>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</si>
  <si>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</si>
  <si>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</si>
  <si>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</si>
  <si>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</si>
  <si>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</si>
  <si>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</si>
  <si>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</si>
  <si>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</si>
  <si>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</si>
  <si>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</si>
  <si>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</si>
  <si>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</si>
  <si>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</si>
  <si>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</si>
  <si>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</si>
  <si>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</si>
  <si>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</si>
  <si>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</si>
  <si>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</si>
  <si>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</si>
  <si>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</si>
  <si>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</si>
  <si>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</si>
  <si>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</si>
  <si>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</si>
  <si>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</si>
  <si>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</si>
  <si>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</si>
  <si>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</si>
  <si>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</si>
  <si>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</si>
  <si>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</si>
  <si>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</si>
  <si>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</si>
  <si>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</si>
  <si>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</si>
  <si>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</si>
  <si>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</si>
  <si>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</si>
  <si>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</si>
  <si>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</si>
  <si>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</si>
  <si>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</si>
  <si>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</si>
  <si>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</si>
  <si>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</si>
  <si>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</si>
  <si>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</si>
  <si>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</si>
  <si>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</si>
  <si>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</si>
  <si>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</si>
  <si>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</si>
  <si>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</si>
  <si>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</si>
  <si>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</si>
  <si>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</si>
  <si>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</si>
  <si>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</si>
  <si>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</si>
  <si>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</si>
  <si>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</si>
  <si>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</si>
  <si>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</si>
  <si>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</si>
  <si>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</si>
  <si>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</si>
  <si>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</si>
  <si>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</si>
  <si>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</si>
  <si>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</si>
  <si>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</si>
  <si>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</si>
  <si>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</si>
  <si>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</si>
  <si>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</si>
  <si>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</si>
  <si>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</si>
  <si>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</si>
  <si>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</si>
  <si>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</si>
  <si>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</si>
  <si>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</si>
  <si>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</si>
  <si>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</si>
  <si>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</si>
  <si>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</si>
  <si>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</si>
  <si>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</si>
  <si>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</si>
  <si>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</si>
  <si>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</si>
  <si>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</si>
  <si>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</si>
  <si>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</si>
  <si>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</si>
  <si>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</si>
  <si>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</si>
  <si>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</si>
  <si>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</si>
  <si>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</si>
  <si>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</si>
  <si>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</si>
  <si>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</si>
  <si>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</si>
  <si>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</si>
  <si>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</si>
  <si>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</si>
  <si>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</si>
  <si>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</si>
  <si>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</si>
  <si>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</si>
  <si>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</si>
  <si>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</si>
  <si>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</si>
  <si>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</si>
  <si>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</si>
  <si>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</si>
  <si>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</si>
  <si>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</si>
  <si>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</si>
  <si>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</si>
  <si>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</si>
  <si>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</si>
  <si>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</si>
  <si>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</si>
  <si>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</si>
  <si>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</si>
  <si>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</si>
  <si>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</si>
  <si>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</si>
  <si>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</si>
  <si>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</si>
  <si>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</si>
  <si>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</si>
  <si>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</si>
  <si>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</si>
  <si>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</si>
  <si>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</si>
  <si>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</si>
  <si>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</si>
  <si>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</si>
  <si>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</si>
  <si>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</si>
  <si>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</si>
  <si>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</si>
  <si>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</si>
  <si>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</si>
  <si>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</si>
  <si>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</si>
  <si>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</si>
  <si>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</si>
  <si>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</si>
  <si>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</si>
  <si>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</si>
  <si>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</si>
  <si>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</si>
  <si>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</si>
  <si>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</si>
  <si>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</si>
  <si>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</si>
  <si>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</si>
  <si>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</si>
  <si>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</si>
  <si>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</si>
  <si>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</si>
  <si>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</si>
  <si>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</si>
  <si>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</si>
  <si>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</si>
  <si>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</si>
  <si>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</si>
  <si>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</si>
  <si>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</si>
  <si>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</si>
  <si>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</si>
  <si>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</si>
  <si>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</si>
  <si>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</si>
  <si>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</si>
  <si>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</si>
  <si>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</si>
  <si>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</si>
  <si>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</si>
  <si>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</si>
  <si>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</si>
  <si>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</si>
  <si>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</si>
  <si>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</si>
  <si>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</si>
  <si>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</si>
  <si>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</si>
  <si>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</si>
  <si>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</si>
  <si>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</si>
  <si>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</si>
  <si>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</si>
  <si>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</si>
  <si>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</si>
  <si>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</si>
  <si>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</si>
  <si>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</si>
  <si>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</si>
  <si>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</si>
  <si>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</si>
  <si>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</si>
  <si>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</si>
  <si>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</si>
  <si>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</si>
  <si>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</si>
  <si>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</si>
  <si>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</si>
  <si>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</si>
  <si>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</si>
  <si>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</si>
  <si>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</si>
  <si>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</si>
  <si>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</si>
  <si>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</si>
  <si>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</si>
  <si>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</si>
  <si>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</si>
  <si>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</si>
  <si>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</si>
  <si>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</si>
  <si>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</si>
  <si>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</si>
  <si>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</si>
  <si>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</si>
  <si>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</si>
  <si>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</si>
  <si>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</si>
  <si>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</si>
  <si>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</si>
  <si>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</si>
  <si>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</si>
  <si>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</si>
  <si>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</si>
  <si>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</si>
  <si>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</si>
  <si>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</si>
  <si>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</si>
  <si>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</si>
  <si>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</si>
  <si>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</si>
  <si>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</si>
  <si>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</si>
  <si>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</si>
  <si>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</si>
  <si>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</si>
  <si>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</si>
  <si>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</si>
  <si>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</si>
  <si>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</si>
  <si>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</si>
  <si>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</si>
  <si>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</si>
  <si>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</si>
  <si>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</si>
  <si>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</si>
  <si>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</si>
  <si>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</si>
  <si>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</si>
  <si>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</si>
  <si>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</si>
  <si>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</si>
  <si>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</si>
  <si>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</si>
  <si>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</si>
  <si>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</si>
  <si>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</si>
  <si>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</si>
  <si>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</si>
  <si>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</si>
  <si>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</si>
  <si>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</si>
  <si>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</si>
  <si>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</si>
  <si>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</si>
  <si>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</si>
  <si>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</si>
  <si>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</si>
  <si>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</si>
  <si>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</si>
  <si>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</si>
  <si>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</si>
  <si>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</si>
  <si>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</si>
  <si>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</si>
  <si>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</si>
  <si>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</si>
  <si>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</si>
  <si>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</si>
  <si>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</si>
  <si>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</si>
  <si>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</si>
  <si>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</si>
  <si>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</si>
  <si>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</si>
  <si>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</si>
  <si>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</si>
  <si>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</si>
  <si>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</si>
  <si>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</si>
  <si>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</si>
  <si>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</si>
  <si>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</si>
  <si>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</si>
  <si>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</si>
  <si>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</si>
  <si>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</si>
  <si>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</si>
  <si>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</si>
  <si>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</si>
  <si>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</si>
  <si>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</si>
  <si>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</si>
  <si>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</si>
  <si>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</si>
  <si>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</si>
  <si>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</si>
  <si>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</si>
  <si>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</si>
  <si>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</si>
  <si>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</si>
  <si>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</si>
  <si>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</si>
  <si>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</si>
  <si>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</si>
  <si>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</si>
  <si>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</si>
  <si>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</si>
  <si>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</si>
  <si>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</si>
  <si>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</si>
  <si>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</si>
  <si>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</si>
  <si>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</si>
  <si>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</si>
  <si>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</si>
  <si>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</si>
  <si>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</si>
  <si>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</si>
  <si>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</si>
  <si>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</si>
  <si>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</si>
  <si>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</si>
  <si>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</si>
  <si>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</si>
  <si>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</si>
  <si>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</si>
  <si>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</si>
  <si>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</si>
  <si>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</si>
  <si>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</si>
  <si>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</si>
  <si>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</si>
  <si>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</si>
  <si>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</si>
  <si>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</si>
  <si>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</si>
  <si>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</si>
  <si>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</si>
  <si>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</si>
  <si>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</si>
  <si>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</si>
  <si>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</si>
  <si>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</si>
  <si>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</si>
  <si>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</si>
  <si>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</si>
  <si>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</si>
  <si>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</si>
  <si>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</si>
  <si>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</si>
  <si>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</si>
  <si>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</si>
  <si>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</si>
  <si>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</si>
  <si>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</si>
  <si>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</si>
  <si>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</si>
  <si>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</si>
  <si>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</si>
  <si>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</si>
  <si>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</si>
  <si>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</si>
  <si>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</si>
  <si>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</si>
  <si>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</si>
  <si>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</si>
  <si>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</si>
  <si>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</si>
  <si>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</si>
  <si>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</si>
  <si>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</si>
  <si>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</si>
  <si>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</si>
  <si>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</si>
  <si>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</si>
  <si>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</si>
  <si>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</si>
  <si>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</si>
  <si>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</si>
  <si>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</si>
  <si>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</si>
  <si>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</si>
  <si>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</si>
  <si>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</si>
  <si>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</si>
  <si>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</si>
  <si>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</si>
  <si>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</si>
  <si>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</si>
  <si>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</si>
  <si>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</si>
  <si>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</si>
  <si>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</si>
  <si>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</si>
  <si>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</si>
  <si>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</si>
  <si>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</si>
  <si>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</si>
  <si>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</si>
  <si>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</si>
  <si>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</si>
  <si>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</si>
  <si>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</si>
  <si>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</si>
  <si>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</si>
  <si>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</si>
  <si>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</si>
  <si>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</si>
  <si>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</si>
  <si>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</si>
  <si>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</si>
  <si>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</si>
  <si>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</si>
  <si>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</si>
  <si>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</si>
  <si>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</si>
  <si>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</si>
  <si>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</si>
  <si>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</si>
  <si>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</si>
  <si>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</si>
  <si>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</si>
  <si>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</si>
  <si>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</si>
  <si>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</si>
  <si>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</si>
  <si>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</si>
  <si>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</si>
  <si>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</si>
  <si>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</si>
  <si>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</si>
  <si>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</si>
  <si>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</si>
  <si>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</si>
  <si>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</si>
  <si>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</si>
  <si>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</si>
  <si>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</si>
  <si>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</si>
  <si>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</si>
  <si>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</si>
  <si>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</si>
  <si>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</si>
  <si>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</si>
  <si>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</si>
  <si>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</si>
  <si>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</si>
  <si>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</si>
  <si>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</si>
  <si>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</si>
  <si>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</si>
  <si>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</si>
  <si>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</si>
  <si>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</si>
  <si>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</si>
  <si>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</si>
  <si>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</si>
  <si>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</si>
  <si>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</si>
  <si>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</si>
  <si>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</si>
  <si>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</si>
  <si>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</si>
  <si>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</si>
  <si>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</si>
  <si>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</si>
  <si>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</si>
  <si>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</si>
  <si>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</si>
  <si>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</si>
  <si>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</si>
  <si>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</si>
  <si>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</si>
  <si>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</si>
  <si>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</si>
  <si>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</si>
  <si>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</si>
  <si>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</si>
  <si>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</si>
  <si>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</si>
  <si>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</si>
  <si>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</si>
  <si>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</si>
  <si>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</si>
  <si>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</si>
  <si>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</si>
  <si>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</si>
  <si>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</si>
  <si>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</si>
  <si>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</si>
  <si>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</si>
  <si>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</si>
  <si>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</si>
  <si>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</si>
  <si>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</si>
  <si>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</si>
  <si>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</si>
  <si>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</si>
  <si>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</si>
  <si>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</si>
  <si>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</si>
  <si>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</si>
  <si>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</si>
  <si>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</si>
  <si>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</si>
  <si>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</si>
  <si>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</si>
  <si>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</si>
  <si>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</si>
  <si>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</si>
  <si>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</si>
  <si>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</si>
  <si>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</si>
  <si>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</si>
  <si>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</si>
  <si>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</si>
  <si>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</si>
  <si>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</si>
  <si>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</si>
  <si>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</si>
  <si>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</si>
  <si>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</si>
  <si>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</si>
  <si>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</si>
  <si>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</si>
  <si>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</si>
  <si>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</si>
  <si>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</si>
  <si>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</si>
  <si>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</si>
  <si>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</si>
  <si>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</si>
  <si>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</si>
  <si>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</si>
  <si>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</si>
  <si>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</si>
  <si>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</si>
  <si>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</si>
  <si>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</si>
  <si>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</si>
  <si>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</si>
  <si>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</si>
  <si>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</si>
  <si>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</si>
  <si>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</si>
  <si>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</si>
  <si>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</si>
  <si>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</si>
  <si>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</si>
  <si>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</si>
  <si>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</si>
  <si>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</si>
  <si>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</si>
  <si>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</si>
  <si>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</si>
  <si>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</si>
  <si>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</si>
  <si>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</si>
  <si>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</si>
  <si>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</si>
  <si>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</si>
  <si>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</si>
  <si>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</si>
  <si>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</si>
  <si>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</si>
  <si>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</si>
  <si>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</si>
  <si>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</si>
  <si>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</si>
  <si>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</si>
  <si>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</si>
  <si>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</si>
  <si>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</si>
  <si>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</si>
  <si>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</si>
  <si>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</si>
  <si>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</si>
  <si>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</si>
  <si>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</si>
  <si>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</si>
  <si>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</si>
  <si>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</si>
  <si>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</si>
  <si>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</si>
  <si>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</si>
  <si>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</si>
  <si>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</si>
  <si>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</si>
  <si>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</si>
  <si>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</si>
  <si>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</si>
  <si>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</si>
  <si>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</si>
  <si>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</si>
  <si>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</si>
  <si>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</si>
  <si>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</si>
  <si>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</si>
  <si>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</si>
  <si>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</si>
  <si>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</si>
  <si>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</si>
  <si>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</si>
  <si>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</si>
  <si>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</si>
  <si>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</si>
  <si>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</si>
  <si>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</si>
  <si>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</si>
  <si>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</si>
  <si>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</si>
  <si>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</si>
  <si>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</si>
  <si>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</si>
  <si>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</si>
  <si>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</si>
  <si>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</si>
  <si>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</si>
  <si>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</si>
  <si>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</si>
  <si>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</si>
  <si>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</si>
  <si>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</si>
  <si>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</si>
  <si>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</si>
  <si>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</si>
  <si>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</si>
  <si>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</si>
  <si>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</si>
  <si>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</si>
  <si>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</si>
  <si>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</si>
  <si>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</si>
  <si>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</si>
  <si>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</si>
  <si>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</si>
  <si>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</si>
  <si>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</si>
  <si>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</si>
  <si>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</si>
  <si>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</si>
  <si>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</si>
  <si>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</si>
  <si>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</si>
  <si>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</si>
  <si>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</si>
  <si>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</si>
  <si>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</si>
  <si>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</si>
  <si>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</si>
  <si>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</si>
  <si>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</si>
  <si>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</si>
  <si>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</si>
  <si>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</si>
  <si>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</si>
  <si>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</si>
  <si>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</si>
  <si>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</si>
  <si>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</si>
  <si>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</si>
  <si>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</si>
  <si>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</si>
  <si>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</si>
  <si>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</si>
  <si>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</si>
  <si>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</si>
  <si>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</si>
  <si>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</si>
  <si>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</si>
  <si>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</si>
  <si>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</si>
  <si>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</si>
  <si>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</si>
  <si>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</si>
  <si>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</si>
  <si>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</si>
  <si>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</si>
  <si>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</si>
  <si>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</si>
  <si>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</si>
  <si>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</si>
  <si>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</si>
  <si>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</si>
  <si>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</si>
  <si>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</si>
  <si>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</si>
  <si>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</si>
  <si>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</si>
  <si>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</si>
  <si>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</si>
  <si>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</si>
  <si>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</si>
  <si>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</si>
  <si>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</si>
  <si>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</si>
  <si>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</si>
  <si>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</si>
  <si>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</si>
  <si>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</si>
  <si>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</si>
  <si>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</si>
  <si>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</si>
  <si>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</si>
  <si>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</si>
  <si>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</si>
  <si>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</si>
  <si>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</si>
  <si>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</si>
  <si>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</si>
  <si>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</si>
  <si>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</si>
  <si>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</si>
  <si>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</si>
  <si>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</si>
  <si>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</si>
  <si>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</si>
  <si>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</si>
  <si>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</si>
  <si>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</si>
  <si>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</si>
  <si>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</si>
  <si>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</si>
  <si>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</si>
  <si>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</si>
  <si>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</si>
  <si>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</si>
  <si>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</si>
  <si>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</si>
  <si>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</si>
  <si>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</si>
  <si>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</si>
  <si>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</si>
  <si>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</si>
  <si>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</si>
  <si>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</si>
  <si>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</si>
  <si>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</si>
  <si>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</si>
  <si>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</si>
  <si>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</si>
  <si>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</si>
  <si>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</si>
  <si>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</si>
  <si>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</si>
  <si>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</si>
  <si>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</si>
  <si>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</si>
  <si>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</si>
  <si>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</si>
  <si>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</si>
  <si>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</si>
  <si>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</si>
  <si>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</si>
  <si>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</si>
  <si>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</si>
  <si>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</si>
  <si>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</si>
  <si>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</si>
  <si>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</si>
  <si>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</si>
  <si>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</si>
  <si>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</si>
  <si>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</si>
  <si>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</si>
  <si>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</si>
  <si>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</si>
  <si>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</si>
  <si>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</si>
  <si>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</si>
  <si>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</si>
  <si>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</si>
  <si>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</si>
  <si>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</si>
  <si>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</si>
  <si>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</si>
  <si>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</si>
  <si>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</si>
  <si>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</si>
  <si>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</si>
  <si>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</si>
  <si>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</si>
  <si>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</si>
  <si>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</si>
  <si>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</si>
  <si>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</si>
  <si>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</si>
  <si>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</si>
  <si>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</si>
  <si>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</si>
  <si>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</si>
  <si>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</si>
  <si>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</si>
  <si>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</si>
  <si>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</si>
  <si>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</si>
  <si>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</si>
  <si>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</si>
  <si>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</si>
  <si>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</si>
  <si>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</si>
  <si>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</si>
  <si>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</si>
  <si>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</si>
  <si>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</si>
  <si>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</si>
  <si>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</si>
  <si>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</si>
  <si>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</si>
  <si>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</si>
  <si>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</si>
  <si>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</si>
  <si>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</si>
  <si>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</si>
  <si>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</si>
  <si>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</si>
  <si>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</si>
  <si>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</si>
  <si>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</si>
  <si>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</si>
  <si>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</si>
  <si>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</si>
  <si>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</si>
  <si>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</si>
  <si>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</si>
  <si>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</si>
  <si>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</si>
  <si>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</si>
  <si>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</si>
  <si>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</si>
  <si>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</si>
  <si>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</si>
  <si>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</si>
  <si>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</si>
  <si>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</si>
  <si>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</si>
  <si>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</si>
  <si>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</si>
  <si>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</si>
  <si>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</si>
  <si>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</si>
  <si>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</si>
  <si>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</si>
  <si>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</si>
  <si>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</si>
  <si>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</si>
  <si>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</si>
  <si>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</si>
  <si>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</si>
  <si>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</si>
  <si>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</si>
  <si>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</si>
  <si>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</si>
  <si>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</si>
  <si>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</si>
  <si>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</si>
  <si>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</si>
  <si>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</si>
  <si>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</si>
  <si>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</si>
  <si>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</si>
  <si>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</si>
  <si>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</si>
  <si>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</si>
  <si>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</si>
  <si>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</si>
  <si>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</si>
  <si>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</si>
  <si>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</si>
  <si>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</si>
  <si>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</si>
  <si>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</si>
  <si>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</si>
  <si>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</si>
  <si>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</si>
  <si>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</si>
  <si>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</si>
  <si>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</si>
  <si>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</si>
  <si>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</si>
  <si>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</si>
  <si>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</si>
  <si>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</si>
  <si>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</si>
  <si>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</si>
  <si>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</si>
  <si>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</si>
  <si>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</si>
  <si>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</si>
  <si>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</si>
  <si>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</si>
  <si>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</si>
  <si>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</si>
  <si>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</si>
  <si>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</si>
  <si>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</si>
  <si>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</si>
  <si>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</si>
  <si>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</si>
  <si>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</si>
  <si>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</si>
  <si>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</si>
  <si>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</si>
  <si>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</si>
  <si>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</si>
  <si>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</si>
  <si>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</si>
  <si>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</si>
  <si>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</si>
  <si>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</si>
  <si>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</si>
  <si>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</si>
  <si>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</si>
  <si>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</si>
  <si>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</si>
  <si>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</si>
  <si>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</si>
  <si>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</si>
  <si>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</si>
  <si>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</si>
  <si>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</si>
  <si>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</si>
  <si>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</si>
  <si>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</si>
  <si>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</si>
  <si>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</si>
  <si>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</si>
  <si>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</si>
  <si>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</si>
  <si>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</si>
  <si>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</si>
  <si>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</si>
  <si>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</si>
  <si>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</si>
  <si>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</si>
  <si>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</si>
  <si>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</si>
  <si>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</si>
  <si>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</si>
  <si>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</si>
  <si>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</si>
  <si>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</si>
  <si>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</si>
  <si>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</si>
  <si>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</si>
  <si>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</si>
  <si>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</si>
  <si>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</si>
  <si>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</si>
  <si>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</si>
  <si>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</si>
  <si>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</si>
  <si>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</si>
  <si>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</si>
  <si>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</si>
  <si>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</si>
  <si>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</si>
  <si>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</si>
  <si>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</si>
  <si>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</si>
  <si>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</si>
  <si>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</si>
  <si>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</si>
  <si>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</si>
  <si>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</si>
  <si>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</si>
  <si>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</si>
  <si>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</si>
  <si>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</si>
  <si>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</si>
  <si>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</si>
  <si>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</si>
  <si>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</si>
  <si>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</si>
  <si>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</si>
  <si>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</si>
  <si>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</si>
  <si>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</si>
  <si>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</si>
  <si>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</si>
  <si>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</si>
  <si>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</si>
  <si>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</si>
  <si>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</si>
  <si>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</si>
  <si>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</si>
  <si>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</si>
  <si>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</si>
  <si>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</si>
  <si>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</si>
  <si>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</si>
  <si>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</si>
  <si>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</si>
  <si>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</si>
  <si>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</si>
  <si>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</si>
  <si>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</si>
  <si>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</si>
  <si>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</si>
  <si>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</si>
  <si>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</si>
  <si>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</si>
  <si>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</si>
  <si>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</si>
  <si>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</si>
  <si>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</si>
  <si>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</si>
  <si>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</si>
  <si>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</si>
  <si>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</si>
  <si>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</si>
  <si>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</si>
  <si>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</si>
  <si>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</si>
  <si>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</si>
  <si>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</si>
  <si>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</si>
  <si>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</si>
  <si>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</si>
  <si>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</si>
  <si>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</si>
  <si>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</si>
  <si>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</si>
  <si>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</si>
  <si>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</si>
  <si>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</si>
  <si>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</si>
  <si>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</si>
  <si>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</si>
  <si>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</si>
  <si>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</si>
  <si>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</si>
  <si>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</si>
  <si>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</si>
  <si>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</si>
  <si>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</si>
  <si>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</si>
  <si>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</si>
  <si>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</si>
  <si>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</si>
  <si>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</si>
  <si>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</si>
  <si>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</si>
  <si>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</si>
  <si>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</si>
  <si>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</si>
  <si>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</si>
  <si>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</si>
  <si>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</si>
  <si>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</si>
  <si>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</si>
  <si>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</si>
  <si>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</si>
  <si>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</si>
  <si>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</si>
  <si>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</si>
  <si>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</si>
  <si>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</si>
  <si>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</si>
  <si>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</si>
  <si>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</si>
  <si>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</si>
  <si>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</si>
  <si>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</si>
  <si>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</si>
  <si>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</si>
  <si>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</si>
  <si>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</si>
  <si>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</si>
  <si>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</si>
  <si>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</si>
  <si>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</si>
  <si>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</si>
  <si>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</si>
  <si>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</si>
  <si>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</si>
  <si>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</si>
  <si>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</si>
  <si>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</si>
  <si>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</si>
  <si>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</si>
  <si>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</si>
  <si>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</si>
  <si>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</si>
  <si>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</si>
  <si>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</si>
  <si>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</si>
  <si>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</si>
  <si>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</si>
  <si>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</si>
  <si>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</si>
  <si>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</si>
  <si>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</si>
  <si>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</si>
  <si>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</si>
  <si>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</si>
  <si>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</si>
  <si>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</si>
  <si>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</si>
  <si>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</si>
  <si>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</si>
  <si>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</si>
  <si>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</si>
  <si>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</si>
  <si>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</si>
  <si>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</si>
  <si>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</si>
  <si>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</si>
  <si>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</si>
  <si>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</si>
  <si>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</si>
  <si>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</si>
  <si>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</si>
  <si>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</si>
  <si>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</si>
  <si>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</si>
  <si>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</si>
  <si>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</si>
  <si>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</si>
  <si>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</si>
  <si>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</si>
  <si>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</si>
  <si>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</si>
  <si>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</si>
  <si>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</si>
  <si>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</si>
  <si>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</si>
  <si>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</si>
  <si>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</si>
  <si>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</si>
  <si>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</si>
  <si>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</si>
  <si>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</si>
  <si>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</si>
  <si>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</si>
  <si>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</si>
  <si>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</si>
  <si>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</si>
  <si>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</si>
  <si>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</si>
  <si>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</si>
  <si>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</si>
  <si>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</si>
  <si>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</si>
  <si>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</si>
  <si>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</si>
  <si>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</si>
  <si>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</si>
  <si>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</si>
  <si>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</si>
  <si>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</si>
  <si>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</si>
  <si>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</si>
  <si>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</si>
  <si>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</si>
  <si>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</si>
  <si>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</si>
  <si>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</si>
  <si>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</si>
  <si>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</si>
  <si>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</si>
  <si>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</si>
  <si>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</si>
  <si>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</si>
  <si>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</si>
  <si>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</si>
  <si>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</si>
  <si>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</si>
  <si>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</si>
  <si>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</si>
  <si>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</si>
  <si>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</si>
  <si>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</si>
  <si>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</si>
  <si>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</si>
  <si>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</si>
  <si>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</si>
  <si>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</si>
  <si>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</si>
  <si>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</si>
  <si>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</si>
  <si>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</si>
  <si>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</si>
  <si>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</si>
  <si>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</si>
  <si>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</si>
  <si>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</si>
  <si>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</si>
  <si>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</si>
  <si>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</si>
  <si>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</si>
  <si>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</si>
  <si>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</si>
  <si>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</si>
  <si>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</si>
  <si>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</si>
  <si>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</si>
  <si>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</si>
  <si>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</si>
  <si>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</si>
  <si>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</si>
  <si>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</si>
  <si>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</si>
  <si>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</si>
  <si>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</si>
  <si>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</si>
  <si>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</si>
  <si>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</si>
  <si>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</si>
  <si>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</si>
  <si>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</si>
  <si>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</si>
  <si>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</si>
  <si>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</si>
  <si>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</si>
  <si>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</si>
  <si>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</si>
  <si>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</si>
  <si>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</si>
  <si>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</si>
  <si>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</si>
  <si>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</si>
  <si>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</si>
  <si>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</si>
  <si>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</si>
  <si>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</si>
  <si>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</si>
  <si>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</si>
  <si>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</si>
  <si>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</si>
  <si>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</si>
  <si>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</si>
  <si>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</si>
  <si>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</si>
  <si>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</si>
  <si>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</si>
  <si>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</si>
  <si>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</si>
  <si>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</si>
  <si>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</si>
  <si>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</si>
  <si>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</si>
  <si>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</si>
  <si>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</si>
  <si>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</si>
  <si>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</si>
  <si>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</si>
  <si>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</si>
  <si>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</si>
  <si>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</si>
  <si>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</si>
  <si>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</si>
  <si>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</si>
  <si>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</si>
  <si>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</si>
  <si>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</si>
  <si>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</si>
  <si>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</si>
  <si>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</si>
  <si>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</si>
  <si>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</si>
  <si>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</si>
  <si>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</si>
  <si>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</si>
  <si>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</si>
  <si>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</si>
  <si>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</si>
  <si>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</si>
  <si>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</si>
  <si>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</si>
  <si>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</si>
  <si>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</si>
  <si>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</si>
  <si>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</si>
  <si>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</si>
  <si>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</si>
  <si>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</si>
  <si>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</si>
  <si>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</si>
  <si>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</si>
  <si>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</si>
  <si>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</si>
  <si>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</si>
  <si>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</si>
  <si>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</si>
  <si>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</si>
  <si>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</si>
  <si>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</si>
  <si>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</si>
  <si>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</si>
  <si>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</si>
  <si>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</si>
  <si>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</si>
  <si>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</si>
  <si>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</si>
  <si>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</si>
  <si>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</si>
  <si>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</si>
  <si>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</si>
  <si>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</si>
  <si>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</si>
  <si>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</si>
  <si>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</si>
  <si>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</si>
  <si>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</si>
  <si>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</si>
  <si>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</si>
  <si>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</si>
  <si>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</si>
  <si>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</si>
  <si>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</si>
  <si>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</si>
  <si>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</si>
  <si>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</si>
  <si>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</si>
  <si>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</si>
  <si>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</si>
  <si>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</si>
  <si>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</si>
  <si>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</si>
  <si>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</si>
  <si>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</si>
  <si>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</si>
  <si>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</si>
  <si>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</si>
  <si>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</si>
  <si>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</si>
  <si>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</si>
  <si>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</si>
  <si>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</si>
  <si>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</si>
  <si>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</si>
  <si>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</si>
  <si>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</si>
  <si>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</si>
  <si>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</si>
  <si>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</si>
  <si>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</si>
  <si>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</si>
  <si>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</si>
  <si>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</si>
  <si>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</si>
  <si>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</si>
  <si>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</si>
  <si>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</si>
  <si>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</si>
  <si>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</si>
  <si>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</si>
  <si>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</si>
  <si>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</si>
  <si>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</si>
  <si>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</si>
  <si>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</si>
  <si>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</si>
  <si>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</si>
  <si>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</si>
  <si>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</si>
  <si>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</si>
  <si>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</si>
  <si>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</si>
  <si>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</si>
  <si>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</si>
  <si>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</si>
  <si>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</si>
  <si>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</si>
  <si>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</si>
  <si>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</si>
  <si>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</si>
  <si>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</si>
  <si>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</si>
  <si>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</si>
  <si>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</si>
  <si>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</si>
  <si>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</si>
  <si>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</si>
  <si>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</si>
  <si>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</si>
  <si>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</si>
  <si>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</si>
  <si>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</si>
  <si>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</si>
  <si>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</si>
  <si>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</si>
  <si>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</si>
  <si>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</si>
  <si>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</si>
  <si>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</si>
  <si>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</si>
  <si>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</si>
  <si>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</si>
  <si>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</si>
  <si>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</si>
  <si>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</si>
  <si>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</si>
  <si>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</si>
  <si>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</si>
  <si>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</si>
  <si>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</si>
  <si>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</si>
  <si>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</si>
  <si>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</si>
  <si>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</si>
  <si>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</si>
  <si>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</si>
  <si>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</si>
  <si>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</si>
  <si>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</si>
  <si>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</si>
  <si>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</si>
  <si>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</si>
  <si>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</si>
  <si>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</si>
  <si>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</si>
  <si>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</si>
  <si>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</si>
  <si>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</si>
  <si>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</si>
  <si>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</si>
  <si>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</si>
  <si>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</si>
  <si>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</si>
  <si>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</si>
  <si>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</si>
  <si>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</si>
  <si>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</si>
  <si>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</si>
  <si>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</si>
  <si>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</si>
  <si>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</si>
  <si>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</si>
  <si>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</si>
  <si>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</si>
  <si>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</si>
  <si>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</si>
  <si>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</si>
  <si>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</si>
  <si>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</si>
  <si>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</si>
  <si>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</si>
  <si>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</si>
  <si>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</si>
  <si>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</si>
  <si>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</si>
  <si>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</si>
  <si>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</si>
  <si>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</si>
  <si>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</si>
  <si>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</si>
  <si>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</si>
  <si>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</si>
  <si>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</si>
  <si>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</si>
  <si>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</si>
  <si>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</si>
  <si>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</si>
  <si>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</si>
  <si>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</si>
  <si>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</si>
  <si>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</si>
  <si>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</si>
  <si>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</si>
  <si>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</si>
  <si>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</si>
  <si>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</si>
  <si>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</si>
  <si>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</si>
  <si>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</si>
  <si>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</si>
  <si>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</si>
  <si>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</si>
  <si>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</si>
  <si>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</si>
  <si>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</si>
  <si>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</si>
  <si>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</si>
  <si>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</si>
  <si>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</si>
  <si>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</si>
  <si>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</si>
  <si>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</si>
  <si>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</si>
  <si>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</si>
  <si>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</si>
  <si>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</si>
  <si>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</si>
  <si>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</si>
  <si>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</si>
  <si>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</si>
  <si>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</si>
  <si>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</si>
  <si>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</si>
  <si>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</si>
  <si>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</si>
  <si>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</si>
  <si>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</si>
  <si>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</si>
  <si>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</si>
  <si>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</si>
  <si>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</si>
  <si>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</si>
  <si>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</si>
  <si>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</si>
  <si>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</si>
  <si>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</si>
  <si>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</si>
  <si>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</si>
  <si>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</si>
  <si>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</si>
  <si>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</si>
  <si>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</si>
  <si>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</si>
  <si>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</si>
  <si>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</si>
  <si>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</si>
  <si>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</si>
  <si>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</si>
  <si>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</si>
  <si>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</si>
  <si>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</si>
  <si>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</si>
  <si>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</si>
  <si>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</si>
  <si>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</si>
  <si>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</si>
  <si>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</si>
  <si>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</si>
  <si>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</si>
  <si>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</si>
  <si>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</si>
  <si>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</si>
  <si>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</si>
  <si>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</si>
  <si>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</si>
  <si>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</si>
  <si>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</si>
  <si>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</si>
  <si>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</si>
  <si>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</si>
  <si>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</si>
  <si>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</si>
  <si>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</si>
  <si>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</si>
  <si>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</si>
  <si>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</si>
  <si>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</si>
  <si>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</si>
  <si>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</si>
  <si>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</si>
  <si>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</si>
  <si>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</si>
  <si>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</si>
  <si>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</si>
  <si>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</si>
  <si>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</si>
  <si>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</si>
  <si>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</si>
  <si>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</si>
  <si>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</si>
  <si>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</si>
  <si>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</si>
  <si>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</si>
  <si>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</si>
  <si>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</si>
  <si>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</si>
  <si>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</si>
  <si>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</si>
  <si>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</si>
  <si>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</si>
  <si>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</si>
  <si>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</si>
  <si>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</si>
  <si>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</si>
  <si>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</si>
  <si>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</si>
  <si>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</si>
  <si>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</si>
  <si>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</si>
  <si>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</si>
  <si>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</si>
  <si>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</si>
  <si>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</si>
  <si>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</si>
  <si>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</si>
  <si>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</si>
  <si>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</si>
  <si>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</si>
  <si>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</si>
  <si>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</si>
  <si>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</si>
  <si>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</si>
  <si>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</si>
  <si>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</si>
  <si>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</si>
  <si>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</si>
  <si>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</si>
  <si>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</si>
  <si>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</si>
  <si>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</si>
  <si>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</si>
  <si>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</si>
  <si>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</si>
  <si>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</si>
  <si>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</si>
  <si>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</si>
  <si>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</si>
  <si>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</si>
  <si>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</si>
  <si>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</si>
  <si>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</si>
  <si>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</si>
  <si>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</si>
  <si>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</si>
  <si>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</si>
  <si>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</si>
  <si>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</si>
  <si>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</si>
  <si>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</si>
  <si>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</si>
  <si>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</si>
  <si>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</si>
  <si>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</si>
  <si>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</si>
  <si>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</si>
  <si>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</si>
  <si>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</si>
  <si>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</si>
  <si>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</si>
  <si>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</si>
  <si>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</si>
  <si>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</si>
  <si>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</si>
  <si>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</si>
  <si>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</si>
  <si>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</si>
  <si>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</si>
  <si>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</si>
  <si>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</si>
  <si>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</si>
  <si>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</si>
  <si>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</si>
  <si>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</si>
  <si>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</si>
  <si>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</si>
  <si>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</si>
  <si>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</si>
  <si>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</si>
  <si>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</si>
  <si>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</si>
  <si>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</si>
  <si>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</si>
  <si>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</si>
  <si>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</si>
  <si>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</si>
  <si>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</si>
  <si>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</si>
  <si>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</si>
  <si>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</si>
  <si>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</si>
  <si>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</si>
  <si>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</si>
  <si>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</si>
  <si>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</si>
  <si>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</si>
  <si>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</si>
  <si>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</si>
  <si>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</si>
  <si>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</si>
  <si>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</si>
  <si>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</si>
  <si>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</si>
  <si>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</si>
  <si>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</si>
  <si>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</si>
  <si>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</si>
  <si>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</si>
  <si>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</si>
  <si>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</si>
  <si>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</si>
  <si>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</si>
  <si>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</si>
  <si>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</si>
  <si>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</si>
  <si>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</si>
  <si>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</si>
  <si>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</si>
  <si>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</si>
  <si>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</si>
  <si>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</si>
  <si>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</si>
  <si>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</si>
  <si>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</si>
  <si>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</si>
  <si>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</si>
  <si>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</si>
  <si>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</si>
  <si>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</si>
  <si>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</si>
  <si>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</si>
  <si>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</si>
  <si>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</si>
  <si>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</si>
  <si>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</si>
  <si>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</si>
  <si>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</si>
  <si>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</si>
  <si>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</si>
  <si>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</si>
  <si>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</si>
  <si>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</si>
  <si>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</si>
  <si>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</si>
  <si>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</si>
  <si>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</si>
  <si>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</si>
  <si>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</si>
  <si>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</si>
  <si>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</si>
  <si>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</si>
  <si>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</si>
  <si>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</si>
  <si>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</si>
  <si>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</si>
  <si>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</si>
  <si>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</si>
  <si>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</si>
  <si>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</si>
  <si>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</si>
  <si>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</si>
  <si>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</si>
  <si>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</si>
  <si>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</si>
  <si>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</si>
  <si>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</si>
  <si>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</si>
  <si>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</si>
  <si>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</si>
  <si>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</si>
  <si>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</si>
  <si>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</si>
  <si>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</si>
  <si>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</si>
  <si>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</si>
  <si>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</si>
  <si>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</si>
  <si>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</si>
  <si>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</si>
  <si>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</si>
  <si>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</si>
  <si>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</si>
  <si>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</si>
  <si>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</si>
  <si>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</si>
  <si>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</si>
  <si>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</si>
  <si>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</si>
  <si>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</si>
  <si>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</si>
  <si>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</si>
  <si>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</si>
  <si>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</si>
  <si>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</si>
  <si>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</si>
  <si>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</si>
  <si>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</si>
  <si>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</si>
  <si>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</si>
  <si>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</si>
  <si>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</si>
  <si>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</si>
  <si>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</si>
  <si>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</si>
  <si>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</si>
  <si>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</si>
  <si>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</si>
  <si>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</si>
  <si>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</si>
  <si>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</si>
  <si>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</si>
  <si>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</si>
  <si>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</si>
  <si>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</si>
  <si>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</si>
  <si>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</si>
  <si>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</si>
  <si>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</si>
  <si>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</si>
  <si>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</si>
  <si>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</si>
  <si>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</si>
  <si>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</si>
  <si>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</si>
  <si>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</si>
  <si>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</si>
  <si>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</si>
  <si>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</si>
  <si>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</si>
  <si>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</si>
  <si>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</si>
  <si>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</si>
  <si>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</si>
  <si>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</si>
  <si>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</si>
  <si>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</si>
  <si>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</si>
  <si>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</si>
  <si>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</si>
  <si>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</si>
  <si>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</si>
  <si>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</si>
  <si>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</si>
  <si>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</si>
  <si>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</si>
  <si>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</si>
  <si>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</si>
  <si>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</si>
  <si>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</si>
  <si>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</si>
  <si>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</si>
  <si>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</si>
  <si>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</si>
  <si>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</si>
  <si>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</si>
  <si>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</si>
  <si>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</si>
  <si>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</si>
  <si>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</si>
  <si>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</si>
  <si>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</si>
  <si>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</si>
  <si>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</si>
  <si>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</si>
  <si>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</si>
  <si>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</si>
  <si>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</si>
  <si>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</si>
  <si>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</si>
  <si>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</si>
  <si>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</si>
  <si>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</si>
  <si>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</si>
  <si>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</si>
  <si>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</si>
  <si>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</si>
  <si>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</si>
  <si>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</si>
  <si>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</si>
  <si>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</si>
  <si>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</si>
  <si>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</si>
  <si>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</si>
  <si>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</si>
  <si>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</si>
  <si>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</si>
  <si>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</si>
  <si>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</si>
  <si>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</si>
  <si>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</si>
  <si>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</si>
  <si>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</si>
  <si>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</si>
  <si>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</si>
  <si>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</si>
  <si>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</si>
  <si>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</si>
  <si>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</si>
  <si>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</si>
  <si>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</si>
  <si>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</si>
  <si>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</si>
  <si>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</si>
  <si>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</si>
  <si>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</si>
  <si>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</si>
  <si>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</si>
  <si>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</si>
  <si>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</si>
  <si>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</si>
  <si>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</si>
  <si>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</si>
  <si>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</si>
  <si>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</si>
  <si>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</si>
  <si>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</si>
  <si>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</si>
  <si>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</si>
  <si>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</si>
  <si>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</si>
  <si>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</si>
  <si>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</si>
  <si>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</si>
  <si>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</si>
  <si>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</si>
  <si>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</si>
  <si>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</si>
  <si>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</si>
  <si>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</si>
  <si>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</si>
  <si>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</si>
  <si>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</si>
  <si>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</si>
  <si>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</si>
  <si>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</si>
  <si>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</si>
  <si>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</si>
  <si>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</si>
  <si>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</si>
  <si>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</si>
  <si>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</si>
  <si>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</si>
  <si>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</si>
  <si>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</si>
  <si>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</si>
  <si>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</si>
  <si>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</si>
  <si>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</si>
  <si>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</si>
  <si>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</si>
  <si>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</si>
  <si>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</si>
  <si>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</si>
  <si>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</si>
  <si>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</si>
  <si>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</si>
  <si>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</si>
  <si>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</si>
  <si>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</si>
  <si>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</si>
  <si>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</si>
  <si>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</si>
  <si>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</si>
  <si>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</si>
  <si>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</si>
  <si>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</si>
  <si>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</si>
  <si>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</si>
  <si>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</si>
  <si>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</si>
  <si>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</si>
  <si>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</si>
  <si>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</si>
  <si>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</si>
  <si>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</si>
  <si>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</si>
  <si>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</si>
  <si>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</si>
  <si>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</si>
  <si>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</si>
  <si>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</si>
  <si>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</si>
  <si>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</si>
  <si>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</si>
  <si>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</si>
  <si>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</si>
  <si>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</si>
  <si>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</si>
  <si>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</si>
  <si>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</si>
  <si>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</si>
  <si>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</si>
  <si>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</si>
  <si>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</si>
  <si>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</si>
  <si>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</si>
  <si>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</si>
  <si>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</si>
  <si>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</si>
  <si>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</si>
  <si>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</si>
  <si>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</si>
  <si>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</si>
  <si>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</si>
  <si>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</si>
  <si>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</si>
  <si>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</si>
  <si>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</si>
  <si>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</si>
  <si>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</si>
  <si>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</si>
  <si>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</si>
  <si>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</si>
  <si>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</si>
  <si>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</si>
  <si>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</si>
  <si>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</si>
  <si>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</si>
  <si>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</si>
  <si>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</si>
  <si>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</si>
  <si>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</si>
  <si>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</si>
  <si>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</si>
  <si>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</si>
  <si>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</si>
  <si>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</si>
  <si>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</si>
  <si>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</si>
  <si>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</si>
  <si>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</si>
  <si>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</si>
  <si>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</si>
  <si>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</si>
  <si>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</si>
  <si>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</si>
  <si>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</si>
  <si>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</si>
  <si>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</si>
  <si>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</si>
  <si>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</si>
  <si>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</si>
  <si>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</si>
  <si>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</si>
  <si>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</si>
  <si>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</si>
  <si>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</si>
  <si>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</si>
  <si>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</si>
  <si>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</si>
  <si>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</si>
  <si>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</si>
  <si>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</si>
  <si>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</si>
  <si>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</si>
  <si>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</si>
  <si>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</si>
  <si>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</si>
  <si>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</si>
  <si>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</si>
  <si>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</si>
  <si>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</si>
  <si>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</si>
  <si>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</si>
  <si>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</si>
  <si>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</si>
  <si>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</si>
  <si>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</si>
  <si>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</si>
  <si>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</si>
  <si>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</si>
  <si>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</si>
  <si>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</si>
  <si>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</si>
  <si>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</si>
  <si>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</si>
  <si>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</si>
  <si>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</si>
  <si>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</si>
  <si>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</si>
  <si>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</si>
  <si>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</si>
  <si>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</si>
  <si>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</si>
  <si>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</si>
  <si>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</si>
  <si>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</si>
  <si>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</si>
  <si>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</si>
  <si>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</si>
  <si>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</si>
  <si>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</si>
  <si>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</si>
  <si>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</si>
  <si>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</si>
  <si>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</si>
  <si>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</si>
  <si>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</si>
  <si>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</si>
  <si>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</si>
  <si>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</si>
  <si>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</si>
  <si>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</si>
  <si>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</si>
  <si>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</si>
  <si>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</si>
  <si>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</si>
  <si>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</si>
  <si>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</si>
  <si>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</si>
  <si>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</si>
  <si>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</si>
  <si>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</si>
  <si>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</si>
  <si>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</si>
  <si>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</si>
  <si>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</si>
  <si>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</si>
  <si>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</si>
  <si>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</si>
  <si>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</si>
  <si>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</si>
  <si>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</si>
  <si>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</si>
  <si>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</si>
  <si>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</si>
  <si>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</si>
  <si>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</si>
  <si>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</si>
  <si>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</si>
  <si>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</si>
  <si>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</si>
  <si>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</si>
  <si>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</si>
  <si>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</si>
  <si>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</si>
  <si>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</si>
  <si>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</si>
  <si>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</si>
  <si>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</si>
  <si>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</si>
  <si>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</si>
  <si>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</si>
  <si>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</si>
  <si>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</si>
  <si>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</si>
  <si>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</si>
  <si>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</si>
  <si>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</si>
  <si>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</si>
  <si>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</si>
  <si>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</si>
  <si>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</si>
  <si>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</si>
  <si>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</si>
  <si>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</si>
  <si>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</si>
  <si>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</si>
  <si>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</si>
  <si>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</si>
  <si>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</si>
  <si>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</si>
  <si>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</si>
  <si>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</si>
  <si>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</si>
  <si>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</si>
  <si>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</si>
  <si>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</si>
  <si>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</si>
  <si>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</si>
  <si>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</si>
  <si>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</si>
  <si>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</si>
  <si>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</si>
  <si>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</si>
  <si>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</si>
  <si>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</si>
  <si>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</si>
  <si>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</si>
  <si>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</si>
  <si>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</si>
  <si>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</si>
  <si>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</si>
  <si>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</si>
  <si>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</si>
  <si>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</si>
  <si>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</si>
  <si>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</si>
  <si>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</si>
  <si>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</si>
  <si>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</si>
  <si>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</si>
  <si>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</si>
  <si>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</si>
  <si>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</si>
  <si>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</si>
  <si>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</si>
  <si>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</si>
  <si>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</si>
  <si>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</si>
  <si>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</si>
  <si>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</si>
  <si>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</si>
  <si>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</si>
  <si>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</si>
  <si>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</si>
  <si>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</si>
  <si>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</si>
  <si>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</si>
  <si>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</si>
  <si>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</si>
  <si>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</si>
  <si>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</si>
  <si>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</si>
  <si>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</si>
  <si>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</si>
  <si>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</si>
  <si>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</si>
  <si>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</si>
  <si>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</si>
  <si>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</si>
  <si>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</si>
  <si>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</si>
  <si>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</si>
  <si>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</si>
  <si>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</si>
  <si>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</si>
  <si>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</si>
  <si>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</si>
  <si>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</si>
  <si>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</si>
  <si>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</si>
  <si>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</si>
  <si>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</si>
  <si>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</si>
  <si>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</si>
  <si>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</si>
  <si>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</si>
  <si>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</si>
  <si>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</si>
  <si>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</si>
  <si>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</si>
  <si>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</si>
  <si>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</si>
  <si>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</si>
  <si>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</si>
  <si>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</si>
  <si>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</si>
  <si>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</si>
  <si>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</si>
  <si>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</si>
  <si>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</si>
  <si>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</si>
  <si>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</si>
  <si>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</si>
  <si>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</si>
  <si>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</si>
  <si>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</si>
  <si>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</si>
  <si>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</si>
  <si>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</si>
  <si>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</si>
  <si>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</si>
  <si>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</si>
  <si>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</si>
  <si>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</si>
  <si>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</si>
  <si>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</si>
  <si>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</si>
  <si>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</si>
  <si>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</si>
  <si>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</si>
  <si>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</si>
  <si>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</si>
  <si>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</si>
  <si>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</si>
  <si>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</si>
  <si>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</si>
  <si>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</si>
  <si>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</si>
  <si>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</si>
  <si>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</si>
  <si>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</si>
  <si>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</si>
  <si>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</si>
  <si>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</si>
  <si>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</si>
  <si>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</si>
  <si>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</si>
  <si>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</si>
  <si>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</si>
  <si>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</si>
  <si>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</si>
  <si>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</si>
  <si>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</si>
  <si>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</si>
  <si>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</si>
  <si>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</si>
  <si>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</si>
  <si>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</si>
  <si>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</si>
  <si>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</si>
  <si>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</si>
  <si>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</si>
  <si>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</si>
  <si>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</si>
  <si>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</si>
  <si>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</si>
  <si>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</si>
  <si>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</si>
  <si>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</si>
  <si>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</si>
  <si>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</si>
  <si>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</si>
  <si>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</si>
  <si>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</si>
  <si>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</si>
  <si>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</si>
  <si>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</si>
  <si>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</si>
  <si>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</si>
  <si>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</si>
  <si>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</si>
  <si>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</si>
  <si>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</si>
  <si>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</si>
  <si>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</si>
  <si>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</si>
  <si>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</si>
  <si>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</si>
  <si>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</si>
  <si>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</si>
  <si>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</si>
  <si>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</si>
  <si>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</si>
  <si>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</si>
  <si>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</si>
  <si>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</si>
  <si>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</si>
  <si>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</si>
  <si>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</si>
  <si>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</si>
  <si>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</si>
  <si>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</si>
  <si>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</si>
  <si>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</si>
  <si>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</si>
  <si>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</si>
  <si>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</si>
  <si>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</si>
  <si>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</si>
  <si>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</si>
  <si>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</si>
  <si>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</si>
  <si>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</si>
  <si>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</si>
  <si>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</si>
  <si>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</si>
  <si>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</si>
  <si>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</si>
  <si>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</si>
  <si>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</si>
  <si>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</si>
  <si>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</si>
  <si>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</si>
  <si>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</si>
  <si>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</si>
  <si>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</si>
  <si>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</si>
  <si>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</si>
  <si>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</si>
  <si>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</si>
  <si>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</si>
  <si>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</si>
  <si>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</si>
  <si>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</si>
  <si>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</si>
  <si>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</si>
  <si>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</si>
  <si>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</si>
  <si>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</si>
  <si>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</si>
  <si>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</si>
  <si>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</si>
  <si>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</si>
  <si>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</si>
  <si>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</si>
  <si>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</si>
  <si>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</si>
  <si>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</si>
  <si>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</si>
  <si>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</si>
  <si>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</si>
  <si>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</si>
  <si>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</si>
  <si>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</si>
  <si>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</si>
  <si>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</si>
  <si>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</si>
  <si>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</si>
  <si>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</si>
  <si>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</si>
  <si>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</si>
  <si>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</si>
  <si>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</si>
  <si>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</si>
  <si>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</si>
  <si>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</si>
  <si>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</si>
  <si>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</si>
  <si>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</si>
  <si>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</si>
  <si>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</si>
  <si>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</si>
  <si>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</si>
  <si>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</si>
  <si>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</si>
  <si>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</si>
  <si>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</si>
  <si>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</si>
  <si>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</si>
  <si>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</si>
  <si>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</si>
  <si>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</si>
  <si>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</si>
  <si>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</si>
  <si>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</si>
  <si>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</si>
  <si>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</si>
  <si>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</si>
  <si>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</si>
  <si>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</si>
  <si>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</si>
  <si>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</si>
  <si>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</si>
  <si>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</si>
  <si>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</si>
  <si>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</si>
  <si>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</si>
  <si>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</si>
  <si>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</si>
  <si>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</si>
  <si>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</si>
  <si>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</si>
  <si>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</si>
  <si>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</si>
  <si>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</si>
  <si>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</si>
  <si>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</si>
  <si>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</si>
  <si>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</si>
  <si>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</si>
  <si>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</si>
  <si>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</si>
  <si>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</si>
  <si>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</si>
  <si>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</si>
  <si>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</si>
  <si>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</si>
  <si>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</si>
  <si>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</si>
  <si>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</si>
  <si>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</si>
  <si>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</si>
  <si>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</si>
  <si>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</si>
  <si>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</si>
  <si>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</si>
  <si>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</si>
  <si>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</si>
  <si>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</si>
  <si>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</si>
  <si>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</si>
  <si>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</si>
  <si>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</si>
  <si>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</si>
  <si>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</si>
  <si>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</si>
  <si>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</si>
  <si>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</si>
  <si>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</si>
  <si>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</si>
  <si>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</si>
  <si>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</si>
  <si>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</si>
  <si>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</si>
  <si>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</si>
  <si>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</si>
  <si>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</si>
  <si>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</si>
  <si>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</si>
  <si>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</si>
  <si>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</si>
  <si>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</si>
  <si>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</si>
  <si>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</si>
  <si>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</si>
  <si>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</si>
  <si>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</si>
  <si>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</si>
  <si>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</si>
  <si>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</si>
  <si>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</si>
  <si>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</si>
  <si>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</si>
  <si>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</si>
  <si>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</si>
  <si>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</si>
  <si>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</si>
  <si>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</si>
  <si>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</si>
  <si>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</si>
  <si>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</si>
  <si>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</si>
  <si>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</si>
  <si>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</si>
  <si>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</si>
  <si>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</si>
  <si>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</si>
  <si>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</si>
  <si>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</si>
  <si>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</si>
  <si>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</si>
  <si>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</si>
  <si>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</si>
  <si>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</si>
  <si>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</si>
  <si>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</si>
  <si>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</si>
  <si>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</si>
  <si>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</si>
  <si>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</si>
  <si>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</si>
  <si>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</si>
  <si>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</si>
  <si>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</si>
  <si>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</si>
  <si>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</si>
  <si>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</si>
  <si>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</si>
  <si>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</si>
  <si>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</si>
  <si>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</si>
  <si>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</si>
  <si>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</si>
  <si>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</si>
  <si>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</si>
  <si>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</si>
  <si>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</si>
  <si>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</si>
  <si>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</si>
  <si>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</si>
  <si>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</si>
  <si>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</si>
  <si>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</si>
  <si>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</si>
  <si>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</si>
  <si>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</si>
  <si>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</si>
  <si>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</si>
  <si>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</si>
  <si>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</si>
  <si>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</si>
  <si>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</si>
  <si>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</si>
  <si>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</si>
  <si>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</si>
  <si>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</si>
  <si>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</si>
  <si>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</si>
  <si>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</si>
  <si>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</si>
  <si>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</si>
  <si>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</si>
  <si>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</si>
  <si>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</si>
  <si>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</si>
  <si>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</si>
  <si>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</si>
  <si>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</si>
  <si>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</si>
  <si>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</si>
  <si>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</si>
  <si>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</si>
  <si>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</si>
  <si>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</si>
  <si>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</si>
  <si>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</si>
  <si>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</si>
  <si>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</si>
  <si>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</si>
  <si>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</si>
  <si>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</si>
  <si>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</si>
  <si>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</si>
  <si>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</si>
  <si>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</si>
  <si>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</si>
  <si>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</si>
  <si>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</si>
  <si>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</si>
  <si>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</si>
  <si>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</si>
  <si>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</si>
  <si>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</si>
  <si>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</si>
  <si>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</si>
  <si>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</si>
  <si>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</si>
  <si>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</si>
  <si>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</si>
  <si>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</si>
  <si>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</si>
  <si>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</si>
  <si>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</si>
  <si>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</si>
  <si>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</si>
  <si>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</si>
  <si>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</si>
  <si>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</si>
  <si>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</si>
  <si>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</si>
  <si>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</si>
  <si>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</si>
  <si>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</si>
  <si>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</si>
  <si>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</si>
  <si>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</si>
  <si>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</si>
  <si>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</si>
  <si>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</si>
  <si>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</si>
  <si>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</si>
  <si>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</si>
  <si>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</si>
  <si>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</si>
  <si>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</si>
  <si>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</si>
  <si>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</si>
  <si>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</si>
  <si>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</si>
  <si>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</si>
  <si>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</si>
  <si>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</si>
  <si>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</si>
  <si>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</si>
  <si>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</si>
  <si>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</si>
  <si>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</si>
  <si>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</si>
  <si>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</si>
  <si>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</si>
  <si>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</si>
  <si>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</si>
  <si>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</si>
  <si>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</si>
  <si>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</si>
  <si>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</si>
  <si>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</si>
  <si>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</si>
  <si>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</si>
  <si>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</si>
  <si>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</si>
  <si>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</si>
  <si>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</si>
  <si>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</si>
  <si>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</si>
  <si>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</si>
  <si>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</si>
  <si>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</si>
  <si>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</si>
  <si>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</si>
  <si>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</si>
  <si>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</si>
  <si>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</si>
  <si>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</si>
  <si>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</si>
  <si>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</si>
  <si>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</si>
  <si>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</si>
  <si>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</si>
  <si>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</si>
  <si>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</si>
  <si>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</si>
  <si>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</si>
  <si>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</si>
  <si>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</si>
  <si>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</si>
  <si>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</si>
  <si>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</si>
  <si>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</si>
  <si>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</si>
  <si>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</si>
  <si>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</si>
  <si>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</si>
  <si>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</si>
  <si>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</si>
  <si>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</si>
  <si>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</si>
  <si>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</si>
  <si>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</si>
  <si>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</si>
  <si>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</si>
  <si>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</si>
  <si>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</si>
  <si>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</si>
  <si>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</si>
  <si>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</si>
  <si>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</si>
  <si>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</si>
  <si>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</si>
  <si>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</si>
  <si>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</si>
  <si>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</si>
  <si>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</si>
  <si>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</si>
  <si>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</si>
  <si>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</si>
  <si>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</si>
  <si>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</si>
  <si>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</si>
  <si>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</si>
  <si>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</si>
  <si>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</si>
  <si>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</si>
  <si>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</si>
  <si>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</si>
  <si>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</si>
  <si>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</si>
  <si>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</si>
  <si>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</si>
  <si>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</si>
  <si>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</si>
  <si>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</si>
  <si>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</si>
  <si>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</si>
  <si>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</si>
  <si>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</si>
  <si>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</si>
  <si>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</si>
  <si>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</si>
  <si>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</si>
  <si>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</si>
  <si>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</si>
  <si>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</si>
  <si>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</si>
  <si>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</si>
  <si>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</si>
  <si>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</si>
  <si>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</si>
  <si>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</si>
  <si>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</si>
  <si>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</si>
  <si>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</si>
  <si>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</si>
  <si>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</si>
  <si>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</si>
  <si>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</si>
  <si>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</si>
  <si>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</si>
  <si>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</si>
  <si>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</si>
  <si>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</si>
  <si>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</si>
  <si>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</si>
  <si>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</si>
  <si>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</si>
  <si>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</si>
  <si>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</si>
  <si>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</si>
  <si>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</si>
  <si>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</si>
  <si>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</si>
  <si>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</si>
  <si>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</si>
  <si>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</si>
  <si>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</si>
  <si>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</si>
  <si>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</si>
  <si>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</si>
  <si>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</si>
  <si>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</si>
  <si>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</si>
  <si>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</si>
  <si>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</si>
  <si>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</si>
  <si>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</si>
  <si>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</si>
  <si>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</si>
  <si>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</si>
  <si>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</si>
  <si>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</si>
  <si>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</si>
  <si>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</si>
  <si>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</si>
  <si>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</si>
  <si>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</si>
  <si>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</si>
  <si>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</si>
  <si>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</si>
  <si>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</si>
  <si>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</si>
  <si>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</si>
  <si>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</si>
  <si>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</si>
  <si>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</si>
  <si>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</si>
  <si>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</si>
  <si>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</si>
  <si>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</si>
  <si>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</si>
  <si>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</si>
  <si>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</si>
  <si>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</si>
  <si>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</si>
  <si>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</si>
  <si>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</si>
  <si>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</si>
  <si>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</si>
  <si>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</si>
  <si>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</si>
  <si>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</si>
  <si>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</si>
  <si>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</si>
  <si>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</si>
  <si>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</si>
  <si>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</si>
  <si>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</si>
  <si>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</si>
  <si>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</si>
  <si>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</si>
  <si>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</si>
  <si>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</si>
  <si>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</si>
  <si>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</si>
  <si>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</si>
  <si>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</si>
  <si>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</si>
  <si>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</si>
  <si>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</si>
  <si>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</si>
  <si>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</si>
  <si>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</si>
  <si>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</si>
  <si>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</si>
  <si>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</si>
  <si>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</si>
  <si>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</si>
  <si>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</si>
  <si>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</si>
  <si>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</si>
  <si>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</si>
  <si>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</si>
  <si>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</si>
  <si>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</si>
  <si>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</si>
  <si>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</si>
  <si>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</si>
  <si>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</si>
  <si>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</si>
  <si>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</si>
  <si>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</si>
  <si>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</si>
  <si>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</si>
  <si>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</si>
  <si>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</si>
  <si>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</si>
  <si>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</si>
  <si>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</si>
  <si>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</si>
  <si>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</si>
  <si>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</si>
  <si>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</si>
  <si>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</si>
  <si>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</si>
  <si>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</si>
  <si>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</si>
  <si>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</si>
  <si>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</si>
  <si>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</si>
  <si>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</si>
  <si>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</si>
  <si>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</si>
  <si>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</si>
  <si>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</si>
  <si>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</si>
  <si>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</si>
  <si>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</si>
  <si>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</si>
  <si>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</si>
  <si>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</si>
  <si>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</si>
  <si>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</si>
  <si>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</si>
  <si>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</si>
  <si>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</si>
  <si>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</si>
  <si>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</si>
  <si>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</si>
  <si>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</si>
  <si>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</si>
  <si>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</si>
  <si>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</si>
  <si>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</si>
  <si>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</si>
  <si>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</si>
  <si>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</si>
  <si>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</si>
  <si>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</si>
  <si>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</si>
  <si>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</si>
  <si>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</si>
  <si>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</si>
  <si>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</si>
  <si>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</si>
  <si>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</si>
  <si>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</si>
  <si>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</si>
  <si>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</si>
  <si>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</si>
  <si>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</si>
  <si>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</si>
  <si>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</si>
  <si>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</si>
  <si>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</si>
  <si>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</si>
  <si>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</si>
  <si>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</si>
  <si>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</si>
  <si>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</si>
  <si>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</si>
  <si>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</si>
  <si>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</si>
  <si>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</si>
  <si>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</si>
  <si>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</si>
  <si>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</si>
  <si>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</si>
  <si>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</si>
  <si>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</si>
  <si>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</si>
  <si>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</si>
  <si>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</si>
  <si>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</si>
  <si>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</si>
  <si>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</si>
  <si>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</si>
  <si>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</si>
  <si>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</si>
  <si>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</si>
  <si>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</si>
  <si>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</si>
  <si>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</si>
  <si>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</si>
  <si>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</si>
  <si>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</si>
  <si>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</si>
  <si>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</si>
  <si>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</si>
  <si>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</si>
  <si>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</si>
  <si>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</si>
  <si>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</si>
  <si>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</si>
  <si>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</si>
  <si>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</si>
  <si>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</si>
  <si>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</si>
  <si>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</si>
  <si>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</si>
  <si>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</si>
  <si>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</si>
  <si>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</si>
  <si>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</si>
  <si>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</si>
  <si>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</si>
  <si>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</si>
  <si>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</si>
  <si>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</si>
  <si>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</si>
  <si>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</si>
  <si>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</si>
  <si>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</si>
  <si>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</si>
  <si>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</si>
  <si>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</si>
  <si>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</si>
  <si>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</si>
  <si>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</si>
  <si>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</si>
  <si>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</si>
  <si>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</si>
  <si>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</si>
  <si>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</si>
  <si>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</si>
  <si>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</si>
  <si>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</si>
  <si>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</si>
  <si>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</si>
  <si>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</si>
  <si>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</si>
  <si>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</si>
  <si>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</si>
  <si>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</si>
  <si>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</si>
  <si>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</si>
  <si>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</si>
  <si>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</si>
  <si>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</si>
  <si>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</si>
  <si>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</si>
  <si>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</si>
  <si>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</si>
  <si>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</si>
  <si>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</si>
  <si>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</si>
  <si>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</si>
  <si>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</si>
  <si>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</si>
  <si>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</si>
  <si>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</si>
  <si>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</si>
  <si>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</si>
  <si>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</si>
  <si>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</si>
  <si>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</si>
  <si>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</si>
  <si>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</si>
  <si>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</si>
  <si>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</si>
  <si>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</si>
  <si>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</si>
  <si>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</si>
  <si>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</si>
  <si>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</si>
  <si>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</si>
  <si>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</si>
  <si>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</si>
  <si>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</si>
  <si>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</si>
  <si>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</si>
  <si>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</si>
  <si>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</si>
  <si>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</si>
  <si>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</si>
  <si>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</si>
  <si>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</si>
  <si>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</si>
  <si>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</si>
  <si>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</si>
  <si>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</si>
  <si>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</si>
  <si>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</si>
  <si>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</si>
  <si>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</si>
  <si>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</si>
  <si>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</si>
  <si>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</si>
  <si>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</si>
  <si>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</si>
  <si>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</si>
  <si>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</si>
  <si>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</si>
  <si>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</si>
  <si>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</si>
  <si>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</si>
  <si>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</si>
  <si>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</si>
  <si>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</si>
  <si>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</si>
  <si>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</si>
  <si>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</si>
  <si>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</si>
  <si>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</si>
  <si>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</si>
  <si>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</si>
  <si>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</si>
  <si>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</si>
  <si>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</si>
  <si>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</si>
  <si>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</si>
  <si>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</si>
  <si>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</si>
  <si>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</si>
  <si>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</si>
  <si>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</si>
  <si>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</si>
  <si>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</si>
  <si>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</si>
  <si>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</si>
  <si>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</si>
  <si>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</si>
  <si>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</si>
  <si>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</si>
  <si>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</si>
  <si>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</si>
  <si>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</si>
  <si>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</si>
  <si>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</si>
  <si>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</si>
  <si>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</si>
  <si>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</si>
  <si>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</si>
  <si>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</si>
  <si>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</si>
  <si>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</si>
  <si>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</si>
  <si>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</si>
  <si>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</si>
  <si>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</si>
  <si>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</si>
  <si>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</si>
  <si>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</si>
  <si>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</si>
  <si>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</si>
  <si>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</si>
  <si>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</si>
  <si>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</si>
  <si>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</si>
  <si>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</si>
  <si>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</si>
  <si>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</si>
  <si>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</si>
  <si>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</si>
  <si>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</si>
  <si>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</si>
  <si>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</si>
  <si>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</si>
  <si>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</si>
  <si>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</si>
  <si>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</si>
  <si>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</si>
  <si>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</si>
  <si>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</si>
  <si>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</si>
  <si>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</si>
  <si>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</si>
  <si>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</si>
  <si>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</si>
  <si>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</si>
  <si>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</si>
  <si>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</si>
  <si>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</si>
  <si>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</si>
  <si>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</si>
  <si>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</si>
  <si>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</si>
  <si>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</si>
  <si>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</si>
  <si>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</si>
  <si>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</si>
  <si>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</si>
  <si>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</si>
  <si>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</si>
  <si>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</si>
  <si>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</si>
  <si>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</si>
  <si>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</si>
  <si>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</si>
  <si>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</si>
  <si>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</si>
  <si>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</si>
  <si>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</si>
  <si>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</si>
  <si>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</si>
  <si>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</si>
  <si>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</si>
  <si>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</si>
  <si>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</si>
  <si>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</si>
  <si>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</si>
  <si>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</si>
  <si>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</si>
  <si>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</si>
  <si>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</si>
  <si>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</si>
  <si>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</si>
  <si>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</si>
  <si>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</si>
  <si>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</si>
  <si>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</si>
  <si>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</si>
  <si>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</si>
  <si>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</si>
  <si>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</si>
  <si>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</si>
  <si>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</si>
  <si>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</si>
  <si>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</si>
  <si>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</si>
  <si>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</si>
  <si>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</si>
  <si>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</si>
  <si>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</si>
  <si>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</si>
  <si>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</si>
  <si>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</si>
  <si>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</si>
  <si>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</si>
  <si>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</si>
  <si>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</si>
  <si>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</si>
  <si>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</si>
  <si>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</si>
  <si>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</si>
  <si>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</si>
  <si>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</si>
  <si>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</si>
  <si>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</si>
  <si>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</si>
  <si>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</si>
  <si>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</si>
  <si>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</si>
  <si>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</si>
  <si>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</si>
  <si>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</si>
  <si>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</si>
  <si>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</si>
  <si>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</si>
  <si>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</si>
  <si>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</si>
  <si>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</si>
  <si>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</si>
  <si>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</si>
  <si>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</si>
  <si>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</si>
  <si>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</si>
  <si>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</si>
  <si>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</si>
  <si>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</si>
  <si>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</si>
  <si>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</si>
  <si>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</si>
  <si>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</si>
  <si>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</si>
  <si>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</si>
  <si>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</si>
  <si>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</si>
  <si>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</si>
  <si>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</si>
  <si>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</si>
  <si>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</si>
  <si>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</si>
  <si>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</si>
  <si>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</si>
  <si>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</si>
  <si>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</si>
  <si>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</si>
  <si>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</si>
  <si>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</si>
  <si>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</si>
  <si>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</si>
  <si>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</si>
  <si>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</si>
  <si>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</si>
  <si>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</si>
  <si>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</si>
  <si>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</si>
  <si>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</si>
  <si>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</si>
  <si>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</si>
  <si>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</si>
  <si>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</si>
  <si>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</si>
  <si>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</si>
  <si>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</si>
  <si>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</si>
  <si>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</si>
  <si>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</si>
  <si>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</si>
  <si>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</si>
  <si>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</si>
  <si>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</si>
  <si>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</si>
  <si>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</si>
  <si>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</si>
  <si>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</si>
  <si>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</si>
  <si>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</si>
  <si>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</si>
  <si>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</si>
  <si>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</si>
  <si>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</si>
  <si>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</si>
  <si>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</si>
  <si>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</si>
  <si>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</si>
  <si>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</si>
  <si>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</si>
  <si>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</si>
  <si>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</si>
  <si>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</si>
  <si>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</si>
  <si>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</si>
  <si>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</si>
  <si>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</si>
  <si>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</si>
  <si>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</si>
  <si>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</si>
  <si>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</si>
  <si>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</si>
  <si>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</si>
  <si>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</si>
  <si>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</si>
  <si>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</si>
  <si>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</si>
  <si>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</si>
  <si>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</si>
  <si>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</si>
  <si>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</si>
  <si>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</si>
  <si>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</si>
  <si>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</si>
  <si>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</si>
  <si>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</si>
  <si>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</si>
  <si>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</si>
  <si>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</si>
  <si>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</si>
  <si>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</si>
  <si>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</si>
  <si>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</si>
  <si>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</si>
  <si>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</si>
  <si>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</si>
  <si>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</si>
  <si>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</si>
  <si>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</si>
  <si>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</si>
  <si>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</si>
  <si>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</si>
  <si>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</si>
  <si>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</si>
  <si>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</si>
  <si>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</si>
  <si>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</si>
  <si>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</si>
  <si>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</si>
  <si>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</si>
  <si>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</si>
  <si>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</si>
  <si>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</si>
  <si>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</si>
  <si>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</si>
  <si>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</si>
  <si>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</si>
  <si>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</si>
  <si>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</si>
  <si>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</si>
  <si>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</si>
  <si>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</si>
  <si>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</si>
  <si>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</si>
  <si>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</si>
  <si>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</si>
  <si>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</si>
  <si>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</si>
  <si>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</si>
  <si>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</si>
  <si>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</si>
  <si>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</si>
  <si>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</si>
  <si>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</si>
  <si>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</si>
  <si>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</si>
  <si>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</si>
  <si>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</si>
  <si>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</si>
  <si>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</si>
  <si>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</si>
  <si>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</si>
  <si>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</si>
  <si>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</si>
  <si>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</si>
  <si>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</si>
  <si>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</si>
  <si>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</si>
  <si>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</si>
  <si>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</si>
  <si>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</si>
  <si>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</si>
  <si>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</si>
  <si>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</si>
  <si>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</si>
  <si>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</si>
  <si>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</si>
  <si>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</si>
  <si>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</si>
  <si>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</si>
  <si>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</si>
  <si>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</si>
  <si>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</si>
  <si>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</si>
  <si>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</si>
  <si>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</si>
  <si>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</si>
  <si>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</si>
  <si>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</si>
  <si>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</si>
  <si>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</si>
  <si>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</si>
  <si>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</si>
  <si>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</si>
  <si>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</si>
  <si>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</si>
  <si>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</si>
  <si>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</si>
  <si>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</si>
  <si>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</si>
  <si>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</si>
  <si>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</si>
  <si>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</si>
  <si>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</si>
  <si>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</si>
  <si>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</si>
  <si>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</si>
  <si>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</si>
  <si>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</si>
  <si>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</si>
  <si>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</si>
  <si>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</si>
  <si>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</si>
  <si>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</si>
  <si>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</si>
  <si>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</si>
  <si>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</si>
  <si>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</si>
  <si>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</si>
  <si>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</si>
  <si>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</si>
  <si>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</si>
  <si>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</si>
  <si>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</si>
  <si>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</si>
  <si>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</si>
  <si>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</si>
  <si>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</si>
  <si>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</si>
  <si>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</si>
  <si>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</si>
  <si>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</si>
  <si>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</si>
  <si>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</si>
  <si>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</si>
  <si>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</si>
  <si>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</si>
  <si>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</si>
  <si>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</si>
  <si>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</si>
  <si>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</si>
  <si>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</si>
  <si>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</si>
  <si>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</si>
  <si>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</si>
  <si>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</si>
  <si>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</si>
  <si>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</si>
  <si>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</si>
  <si>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</si>
  <si>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</si>
  <si>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</si>
  <si>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</si>
  <si>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</si>
  <si>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</si>
  <si>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</si>
  <si>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</si>
  <si>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</si>
  <si>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</si>
  <si>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</si>
  <si>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</si>
  <si>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</si>
  <si>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</si>
  <si>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</si>
  <si>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</si>
  <si>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</si>
  <si>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</si>
  <si>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</si>
  <si>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</si>
  <si>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</si>
  <si>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</si>
  <si>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</si>
  <si>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</si>
  <si>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</si>
  <si>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</si>
  <si>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</si>
  <si>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</si>
  <si>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</si>
  <si>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</si>
  <si>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</si>
  <si>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</si>
  <si>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</si>
  <si>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</si>
  <si>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</si>
  <si>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</si>
  <si>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</si>
  <si>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</si>
  <si>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</si>
  <si>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</si>
  <si>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</si>
  <si>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</si>
  <si>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</si>
  <si>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</si>
  <si>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</si>
  <si>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</si>
  <si>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</si>
  <si>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</si>
  <si>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</si>
  <si>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</si>
  <si>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</si>
  <si>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</si>
  <si>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</si>
  <si>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</si>
  <si>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</si>
  <si>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</si>
  <si>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</si>
  <si>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</si>
  <si>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</si>
  <si>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</si>
  <si>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</si>
  <si>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</si>
  <si>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</si>
  <si>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</si>
  <si>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</si>
  <si>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</si>
  <si>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</si>
  <si>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</si>
  <si>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</si>
  <si>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</si>
  <si>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</si>
  <si>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</si>
  <si>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</si>
  <si>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</si>
  <si>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</si>
  <si>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</si>
  <si>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</si>
  <si>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</si>
  <si>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</si>
  <si>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</si>
  <si>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</si>
  <si>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</si>
  <si>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</si>
  <si>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</si>
  <si>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</si>
  <si>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</si>
  <si>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</si>
  <si>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</si>
  <si>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</si>
  <si>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</si>
  <si>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</si>
  <si>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</si>
  <si>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</si>
  <si>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</si>
  <si>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</si>
  <si>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</si>
  <si>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</si>
  <si>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</si>
  <si>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</si>
  <si>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</si>
  <si>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</si>
  <si>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</si>
  <si>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</si>
  <si>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</si>
  <si>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</si>
  <si>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</si>
  <si>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</si>
  <si>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</si>
  <si>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</si>
  <si>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</si>
  <si>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</si>
  <si>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</si>
  <si>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</si>
  <si>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</si>
  <si>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</si>
  <si>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</si>
  <si>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</si>
  <si>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</si>
  <si>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</si>
  <si>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</si>
  <si>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</si>
  <si>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</si>
  <si>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</si>
  <si>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</si>
  <si>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</si>
  <si>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</si>
  <si>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</si>
  <si>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</si>
  <si>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</si>
  <si>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</si>
  <si>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</si>
  <si>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</si>
  <si>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</si>
  <si>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</si>
  <si>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</si>
  <si>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</si>
  <si>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</si>
  <si>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</si>
  <si>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</si>
  <si>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</si>
  <si>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</si>
  <si>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</si>
  <si>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</si>
  <si>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</si>
  <si>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</si>
  <si>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</si>
  <si>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</si>
  <si>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</si>
  <si>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</si>
  <si>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</si>
  <si>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</si>
  <si>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</si>
  <si>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</si>
  <si>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</si>
  <si>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</si>
  <si>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</si>
  <si>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</si>
  <si>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</si>
  <si>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</si>
  <si>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</si>
  <si>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</si>
  <si>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</si>
  <si>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</si>
  <si>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</si>
  <si>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</si>
  <si>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</si>
  <si>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</si>
  <si>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</si>
  <si>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</si>
  <si>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</si>
  <si>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</si>
  <si>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</si>
  <si>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</si>
  <si>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</si>
  <si>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</si>
  <si>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</si>
  <si>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</si>
  <si>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</si>
  <si>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</si>
  <si>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</si>
  <si>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</si>
  <si>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</si>
  <si>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</si>
  <si>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</si>
  <si>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</si>
  <si>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</si>
  <si>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</si>
  <si>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</si>
  <si>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</si>
  <si>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</si>
  <si>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</si>
  <si>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</si>
  <si>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</si>
  <si>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</si>
  <si>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</si>
  <si>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</si>
  <si>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</si>
  <si>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</si>
  <si>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</si>
  <si>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</si>
  <si>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</si>
  <si>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</si>
  <si>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</si>
  <si>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</si>
  <si>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</si>
  <si>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</si>
  <si>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</si>
  <si>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</si>
  <si>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</si>
  <si>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</si>
  <si>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</si>
  <si>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</si>
  <si>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</si>
  <si>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</si>
  <si>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</si>
  <si>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</si>
  <si>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</si>
  <si>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</si>
  <si>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</si>
  <si>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</si>
  <si>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</si>
  <si>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</si>
  <si>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</si>
  <si>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</si>
  <si>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</si>
  <si>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</si>
  <si>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</si>
  <si>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</si>
  <si>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</si>
  <si>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</si>
  <si>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</si>
  <si>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</si>
  <si>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</si>
  <si>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</si>
  <si>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</si>
  <si>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</si>
  <si>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</si>
  <si>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</si>
  <si>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</si>
  <si>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</si>
  <si>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</si>
  <si>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</si>
  <si>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</si>
  <si>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</si>
  <si>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</si>
  <si>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</si>
  <si>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</si>
  <si>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</si>
  <si>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</si>
  <si>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</si>
  <si>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</si>
  <si>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</si>
  <si>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</si>
  <si>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</si>
  <si>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</si>
  <si>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</si>
  <si>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</si>
  <si>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</si>
  <si>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</si>
  <si>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</si>
  <si>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</si>
  <si>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</si>
  <si>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</si>
  <si>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</si>
  <si>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</si>
  <si>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</si>
  <si>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</si>
  <si>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</si>
  <si>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</si>
  <si>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</si>
  <si>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</si>
  <si>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</si>
  <si>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</si>
  <si>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</si>
  <si>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</si>
  <si>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</si>
  <si>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</si>
  <si>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</si>
  <si>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</si>
  <si>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</si>
  <si>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</si>
  <si>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</si>
  <si>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</si>
  <si>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</si>
  <si>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</si>
  <si>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</si>
  <si>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</si>
  <si>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</si>
  <si>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</si>
  <si>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</si>
  <si>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</si>
  <si>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</si>
  <si>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</si>
  <si>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</si>
  <si>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</si>
  <si>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</si>
  <si>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</si>
  <si>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</si>
  <si>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</si>
  <si>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</si>
  <si>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</si>
  <si>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</si>
  <si>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</si>
  <si>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</si>
  <si>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</si>
  <si>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</si>
  <si>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</si>
  <si>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</si>
  <si>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</si>
  <si>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</si>
  <si>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</si>
  <si>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</si>
  <si>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</si>
  <si>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</si>
  <si>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</si>
  <si>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</si>
  <si>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</si>
  <si>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</si>
  <si>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</si>
  <si>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</si>
  <si>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</si>
  <si>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</si>
  <si>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</si>
  <si>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</si>
  <si>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</si>
  <si>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</si>
  <si>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</si>
  <si>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</si>
  <si>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</si>
  <si>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</si>
  <si>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</si>
  <si>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</si>
  <si>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</si>
  <si>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</si>
  <si>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</si>
  <si>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</si>
  <si>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</si>
  <si>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</si>
  <si>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</si>
  <si>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</si>
  <si>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</si>
  <si>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</si>
  <si>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</si>
  <si>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</si>
  <si>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</si>
  <si>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</si>
  <si>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</si>
  <si>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</si>
  <si>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</si>
  <si>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</si>
  <si>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</si>
  <si>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</si>
  <si>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</si>
  <si>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</si>
  <si>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</si>
  <si>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</si>
  <si>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</si>
  <si>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</si>
  <si>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</si>
  <si>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</si>
  <si>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</si>
  <si>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</si>
  <si>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</si>
  <si>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</si>
  <si>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</si>
  <si>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</si>
  <si>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</si>
  <si>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</si>
  <si>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</si>
  <si>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</si>
  <si>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</si>
  <si>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</si>
  <si>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</si>
  <si>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</si>
  <si>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</si>
  <si>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</si>
  <si>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</si>
  <si>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</si>
  <si>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</si>
  <si>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</si>
  <si>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</si>
  <si>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</si>
  <si>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</si>
  <si>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</si>
  <si>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</si>
  <si>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</si>
  <si>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</si>
  <si>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</si>
  <si>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</si>
  <si>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</si>
  <si>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</si>
  <si>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</si>
  <si>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</si>
  <si>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</si>
  <si>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</si>
  <si>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</si>
  <si>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</si>
  <si>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</si>
  <si>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</si>
  <si>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</si>
  <si>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</si>
  <si>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</si>
  <si>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</si>
  <si>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</si>
  <si>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</si>
  <si>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</si>
  <si>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</si>
  <si>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</si>
  <si>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</si>
  <si>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</si>
  <si>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</si>
  <si>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</si>
  <si>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</si>
  <si>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</si>
  <si>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</si>
  <si>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</si>
  <si>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</si>
  <si>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</si>
  <si>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</si>
  <si>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</si>
  <si>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</si>
  <si>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</si>
  <si>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</si>
  <si>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</si>
  <si>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</si>
  <si>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</si>
  <si>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</si>
  <si>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</si>
  <si>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</si>
  <si>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</si>
  <si>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</si>
  <si>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</si>
  <si>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</si>
  <si>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</si>
  <si>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</si>
  <si>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</si>
  <si>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</si>
  <si>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</si>
  <si>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</si>
  <si>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</si>
  <si>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</si>
  <si>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</si>
  <si>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</si>
  <si>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</si>
  <si>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</si>
  <si>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</si>
  <si>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</si>
  <si>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</si>
  <si>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</si>
  <si>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</si>
  <si>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</si>
  <si>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</si>
  <si>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</si>
  <si>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</si>
  <si>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</si>
  <si>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</si>
  <si>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</si>
  <si>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</si>
  <si>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</si>
  <si>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</si>
  <si>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</si>
  <si>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</si>
  <si>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</si>
  <si>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</si>
  <si>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</si>
  <si>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</si>
  <si>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</si>
  <si>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</si>
  <si>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</si>
  <si>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</si>
  <si>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</si>
  <si>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</si>
  <si>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</si>
  <si>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</si>
  <si>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</si>
  <si>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</si>
  <si>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</si>
  <si>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</si>
  <si>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</si>
  <si>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</si>
  <si>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</si>
  <si>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</si>
  <si>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</si>
  <si>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</si>
  <si>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</si>
  <si>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</si>
  <si>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</si>
  <si>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</si>
  <si>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</si>
  <si>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</si>
  <si>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</si>
  <si>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</si>
  <si>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</si>
  <si>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</si>
  <si>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</si>
  <si>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</si>
  <si>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</si>
  <si>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</si>
  <si>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</si>
  <si>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</si>
  <si>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</si>
  <si>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</si>
  <si>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</si>
  <si>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</si>
  <si>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</si>
  <si>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</si>
  <si>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</si>
  <si>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</si>
  <si>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</si>
  <si>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</si>
  <si>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</si>
  <si>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</si>
  <si>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</si>
  <si>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</si>
  <si>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</si>
  <si>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</si>
  <si>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</si>
  <si>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</si>
  <si>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</si>
  <si>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</si>
  <si>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</si>
  <si>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</si>
  <si>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</si>
  <si>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</si>
  <si>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</si>
  <si>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</si>
  <si>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</si>
  <si>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</si>
  <si>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</si>
  <si>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</si>
  <si>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</si>
  <si>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</si>
  <si>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</si>
  <si>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</si>
  <si>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</si>
  <si>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</si>
  <si>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</si>
  <si>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</si>
  <si>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</si>
  <si>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</si>
  <si>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</si>
  <si>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</si>
  <si>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</si>
  <si>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</si>
  <si>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</si>
  <si>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</si>
  <si>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</si>
  <si>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</si>
  <si>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</si>
  <si>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</si>
  <si>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</si>
  <si>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</si>
  <si>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</si>
  <si>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</si>
  <si>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</si>
  <si>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</si>
  <si>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</si>
  <si>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</si>
  <si>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</si>
  <si>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</si>
  <si>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</si>
  <si>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</si>
  <si>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</si>
  <si>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</si>
  <si>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</si>
  <si>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</si>
  <si>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</si>
  <si>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</si>
  <si>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</si>
  <si>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</si>
  <si>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</si>
  <si>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</si>
  <si>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</si>
  <si>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</si>
  <si>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</si>
  <si>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</si>
  <si>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</si>
  <si>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</si>
  <si>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</si>
  <si>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</si>
  <si>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</si>
  <si>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</si>
  <si>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</si>
  <si>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</si>
  <si>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</si>
  <si>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</si>
  <si>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</si>
  <si>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</si>
  <si>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</si>
  <si>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</si>
  <si>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</si>
  <si>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</si>
  <si>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</si>
  <si>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</si>
  <si>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</si>
  <si>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</si>
  <si>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</si>
  <si>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</si>
  <si>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</si>
  <si>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</si>
  <si>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</si>
  <si>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</si>
  <si>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</si>
  <si>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</si>
  <si>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</si>
  <si>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</si>
  <si>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</si>
  <si>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</si>
  <si>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</si>
  <si>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</si>
  <si>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</si>
  <si>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</si>
  <si>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</si>
  <si>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</si>
  <si>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</si>
  <si>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</si>
  <si>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</si>
  <si>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</si>
  <si>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</si>
  <si>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</si>
  <si>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</si>
  <si>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</si>
  <si>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</si>
  <si>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</si>
  <si>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</si>
  <si>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</si>
  <si>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</si>
  <si>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</si>
  <si>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</si>
  <si>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</si>
  <si>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</si>
  <si>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</si>
  <si>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</si>
  <si>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</si>
  <si>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</si>
  <si>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</si>
  <si>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</si>
  <si>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</si>
  <si>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</si>
  <si>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</si>
  <si>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</si>
  <si>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</si>
  <si>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</si>
  <si>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</si>
  <si>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</si>
  <si>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</si>
  <si>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</si>
  <si>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</si>
  <si>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</si>
  <si>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</si>
  <si>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</si>
  <si>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</si>
  <si>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</si>
  <si>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</si>
  <si>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</si>
  <si>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</si>
  <si>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</si>
  <si>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</si>
  <si>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</si>
  <si>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</si>
  <si>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</si>
  <si>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</si>
  <si>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</si>
  <si>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</si>
  <si>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</si>
  <si>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</si>
  <si>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</si>
  <si>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</si>
  <si>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</si>
  <si>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</si>
  <si>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</si>
  <si>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</si>
  <si>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</si>
  <si>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</si>
  <si>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</si>
  <si>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</si>
  <si>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</si>
  <si>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</si>
  <si>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</si>
  <si>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</si>
  <si>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</si>
  <si>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</si>
  <si>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</si>
  <si>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</si>
  <si>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</si>
  <si>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</si>
  <si>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</si>
  <si>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</si>
  <si>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</si>
  <si>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</si>
  <si>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</si>
  <si>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</si>
  <si>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</si>
  <si>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</si>
  <si>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</si>
  <si>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</si>
  <si>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</si>
  <si>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</si>
  <si>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</si>
  <si>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</si>
  <si>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</si>
  <si>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</si>
  <si>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</si>
  <si>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</si>
  <si>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</si>
  <si>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</si>
  <si>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</si>
  <si>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</si>
  <si>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</si>
  <si>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</si>
  <si>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</si>
  <si>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</si>
  <si>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</si>
  <si>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</si>
  <si>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</si>
  <si>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</si>
  <si>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</si>
  <si>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</si>
  <si>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</si>
  <si>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</si>
  <si>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</si>
  <si>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</si>
  <si>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</si>
  <si>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</si>
  <si>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</si>
  <si>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</si>
  <si>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</si>
  <si>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</si>
  <si>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</si>
  <si>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</si>
  <si>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</si>
  <si>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</si>
  <si>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</si>
  <si>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</si>
  <si>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</si>
  <si>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</si>
  <si>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</si>
  <si>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</si>
  <si>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</si>
  <si>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</si>
  <si>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</si>
  <si>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</si>
  <si>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</si>
  <si>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</si>
  <si>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</si>
  <si>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</si>
  <si>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</si>
  <si>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</si>
  <si>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</si>
  <si>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</si>
  <si>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</si>
  <si>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</si>
  <si>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</si>
  <si>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</si>
  <si>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</si>
  <si>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</si>
  <si>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</si>
  <si>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</si>
  <si>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</si>
  <si>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</si>
  <si>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</si>
  <si>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</si>
  <si>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</si>
  <si>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</si>
  <si>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</si>
  <si>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</si>
  <si>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</si>
  <si>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</si>
  <si>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</si>
  <si>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</si>
  <si>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</si>
  <si>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</si>
  <si>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</si>
  <si>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</si>
  <si>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</si>
  <si>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</si>
  <si>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</si>
  <si>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</si>
  <si>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</si>
  <si>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</si>
  <si>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</si>
  <si>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</si>
  <si>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</si>
  <si>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</si>
  <si>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</si>
  <si>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</si>
  <si>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</si>
  <si>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</si>
  <si>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</si>
  <si>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</si>
  <si>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</si>
  <si>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</si>
  <si>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</si>
  <si>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</si>
  <si>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</si>
  <si>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</si>
  <si>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</si>
  <si>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</si>
  <si>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</si>
  <si>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</si>
  <si>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</si>
  <si>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</si>
  <si>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</si>
  <si>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</si>
  <si>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</si>
  <si>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</si>
  <si>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</si>
  <si>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</si>
  <si>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</si>
  <si>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</si>
  <si>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</si>
  <si>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</si>
  <si>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</si>
  <si>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</si>
  <si>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</si>
  <si>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</si>
  <si>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</si>
  <si>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</si>
  <si>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</si>
  <si>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</si>
  <si>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</si>
  <si>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</si>
  <si>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</si>
  <si>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</si>
  <si>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</si>
  <si>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</si>
  <si>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</si>
  <si>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</si>
  <si>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</si>
  <si>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</si>
  <si>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</si>
  <si>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</si>
  <si>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</si>
  <si>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</si>
  <si>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</si>
  <si>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</si>
  <si>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</si>
  <si>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</si>
  <si>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</si>
  <si>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</si>
  <si>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</si>
  <si>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</si>
  <si>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</si>
  <si>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</si>
  <si>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</si>
  <si>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</si>
  <si>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</si>
  <si>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</si>
  <si>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</si>
  <si>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</si>
  <si>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</si>
  <si>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</si>
  <si>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</si>
  <si>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</si>
  <si>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</si>
  <si>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</si>
  <si>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</si>
  <si>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</si>
  <si>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</si>
  <si>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</si>
  <si>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</si>
  <si>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</si>
  <si>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</si>
  <si>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</si>
  <si>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</si>
  <si>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</si>
  <si>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</si>
  <si>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</si>
  <si>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</si>
  <si>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</si>
  <si>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</si>
  <si>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</si>
  <si>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</si>
  <si>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</si>
  <si>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</si>
  <si>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</si>
  <si>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</si>
  <si>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</si>
  <si>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</si>
  <si>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</si>
  <si>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</si>
  <si>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</si>
  <si>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</si>
  <si>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</si>
  <si>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</si>
  <si>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</si>
  <si>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</si>
  <si>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</si>
  <si>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</si>
  <si>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</si>
  <si>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</si>
  <si>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</si>
  <si>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</si>
  <si>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</si>
  <si>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</si>
  <si>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</si>
  <si>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</si>
  <si>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</si>
  <si>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</si>
  <si>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</si>
  <si>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</si>
  <si>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</si>
  <si>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</si>
  <si>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</si>
  <si>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</si>
  <si>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</si>
  <si>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</si>
  <si>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</si>
  <si>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</si>
  <si>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</si>
  <si>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</si>
  <si>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</si>
  <si>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</si>
  <si>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</si>
  <si>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</si>
  <si>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</si>
  <si>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</si>
  <si>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</si>
  <si>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</si>
  <si>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</si>
  <si>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</si>
  <si>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</si>
  <si>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</si>
  <si>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</si>
  <si>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</si>
  <si>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</si>
  <si>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</si>
  <si>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</si>
  <si>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</si>
  <si>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</si>
  <si>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</si>
  <si>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</si>
  <si>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</si>
  <si>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</si>
  <si>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</si>
  <si>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</si>
  <si>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</si>
  <si>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</si>
  <si>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</si>
  <si>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</si>
  <si>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</si>
  <si>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</si>
  <si>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</si>
  <si>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</si>
  <si>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</si>
  <si>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</si>
  <si>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</si>
  <si>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</si>
  <si>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</si>
  <si>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</si>
  <si>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</si>
  <si>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</si>
  <si>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</si>
  <si>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</si>
  <si>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</si>
  <si>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</si>
  <si>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</si>
  <si>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</si>
  <si>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</si>
  <si>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</si>
  <si>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</si>
  <si>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</si>
  <si>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</si>
  <si>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</si>
  <si>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</si>
  <si>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</si>
  <si>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</si>
  <si>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</si>
  <si>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</si>
  <si>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</si>
  <si>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</si>
  <si>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</si>
  <si>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</si>
  <si>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</si>
  <si>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</si>
  <si>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</si>
  <si>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</si>
  <si>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</si>
  <si>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</si>
  <si>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</si>
  <si>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</si>
  <si>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</si>
  <si>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</si>
  <si>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</si>
  <si>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</si>
  <si>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</si>
  <si>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</si>
  <si>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</si>
  <si>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</si>
  <si>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</si>
  <si>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</si>
  <si>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</si>
  <si>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</si>
  <si>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</si>
  <si>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</si>
  <si>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</si>
  <si>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</si>
  <si>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</si>
  <si>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</si>
  <si>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</si>
  <si>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</si>
  <si>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</si>
  <si>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</si>
  <si>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</si>
  <si>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</si>
  <si>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</si>
  <si>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</si>
  <si>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</si>
  <si>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</si>
  <si>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</si>
  <si>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</si>
  <si>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</si>
  <si>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</si>
  <si>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</si>
  <si>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</si>
  <si>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</si>
  <si>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</si>
  <si>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</si>
  <si>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</si>
  <si>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</si>
  <si>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</si>
  <si>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</si>
  <si>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</si>
  <si>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</si>
  <si>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</si>
  <si>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</si>
  <si>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</si>
  <si>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</si>
  <si>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</si>
  <si>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</si>
  <si>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</si>
  <si>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</si>
  <si>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</si>
  <si>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</si>
  <si>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</si>
  <si>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</si>
  <si>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</si>
  <si>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</si>
  <si>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</si>
  <si>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</si>
  <si>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</si>
  <si>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</si>
  <si>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</si>
  <si>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</si>
  <si>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</si>
  <si>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</si>
  <si>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</si>
  <si>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</si>
  <si>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</si>
  <si>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</si>
  <si>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</si>
  <si>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</si>
  <si>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</si>
  <si>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</si>
  <si>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</si>
  <si>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</si>
  <si>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</si>
  <si>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</si>
  <si>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</si>
  <si>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</si>
  <si>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</si>
  <si>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</si>
  <si>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</si>
  <si>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</si>
  <si>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</si>
  <si>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</si>
  <si>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</si>
  <si>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</si>
  <si>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</si>
  <si>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</si>
  <si>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</si>
  <si>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</si>
  <si>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</si>
  <si>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</si>
  <si>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</si>
  <si>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</si>
  <si>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</si>
  <si>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</si>
  <si>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</si>
  <si>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</si>
  <si>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</si>
  <si>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</si>
  <si>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</si>
  <si>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</si>
  <si>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</si>
  <si>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</si>
  <si>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</si>
  <si>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</si>
  <si>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</si>
  <si>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</si>
  <si>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</si>
  <si>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</si>
  <si>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</si>
  <si>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</si>
  <si>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</si>
  <si>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</si>
  <si>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</si>
  <si>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</si>
  <si>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</si>
  <si>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</si>
  <si>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</si>
  <si>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</si>
  <si>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</si>
  <si>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</si>
  <si>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</si>
  <si>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</si>
  <si>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</si>
  <si>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</si>
  <si>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</si>
  <si>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</si>
  <si>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</si>
  <si>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</si>
  <si>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</si>
  <si>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</si>
  <si>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</si>
  <si>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</si>
  <si>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</si>
  <si>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</si>
  <si>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</si>
  <si>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</si>
  <si>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</si>
  <si>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</si>
  <si>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</si>
  <si>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</si>
  <si>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</si>
  <si>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</si>
  <si>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</si>
  <si>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</si>
  <si>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</si>
  <si>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</si>
  <si>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</si>
  <si>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</si>
  <si>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</si>
  <si>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</si>
  <si>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</si>
  <si>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</si>
  <si>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</si>
  <si>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</si>
  <si>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</si>
  <si>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</si>
  <si>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</si>
  <si>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</si>
  <si>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</si>
  <si>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</si>
  <si>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</si>
  <si>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</si>
  <si>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</si>
  <si>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</si>
  <si>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</si>
  <si>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</si>
  <si>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</si>
  <si>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</si>
  <si>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</si>
  <si>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</si>
  <si>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</si>
  <si>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</si>
  <si>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</si>
  <si>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</si>
  <si>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</si>
  <si>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</si>
  <si>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</si>
  <si>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</si>
  <si>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</si>
  <si>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</si>
  <si>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</si>
  <si>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</si>
  <si>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</si>
  <si>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</si>
  <si>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</si>
  <si>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</si>
  <si>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</si>
  <si>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</si>
  <si>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</si>
  <si>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</si>
  <si>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</si>
  <si>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</si>
  <si>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</si>
  <si>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</si>
  <si>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</si>
  <si>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</si>
  <si>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</si>
  <si>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</si>
  <si>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</si>
  <si>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</si>
  <si>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</si>
  <si>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</si>
  <si>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</si>
  <si>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</si>
  <si>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</si>
  <si>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</si>
  <si>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</si>
  <si>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</si>
  <si>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</si>
  <si>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</si>
  <si>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</si>
  <si>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</si>
  <si>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</si>
  <si>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</si>
  <si>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</si>
  <si>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</si>
  <si>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</si>
  <si>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</si>
  <si>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</si>
  <si>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</si>
  <si>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</si>
  <si>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</si>
  <si>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</si>
  <si>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</si>
  <si>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</si>
  <si>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</si>
  <si>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</si>
  <si>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</si>
  <si>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</si>
  <si>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</si>
  <si>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</si>
  <si>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</si>
  <si>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</si>
  <si>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</si>
  <si>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</si>
  <si>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</si>
  <si>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</si>
  <si>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</si>
  <si>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</si>
  <si>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</si>
  <si>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</si>
  <si>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</si>
  <si>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</si>
  <si>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</si>
  <si>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</si>
  <si>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</si>
  <si>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</si>
  <si>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</si>
  <si>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</si>
  <si>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</si>
  <si>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</si>
  <si>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</si>
  <si>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</si>
  <si>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</si>
  <si>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</si>
  <si>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</si>
  <si>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</si>
  <si>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</si>
  <si>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</si>
  <si>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</si>
  <si>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</si>
  <si>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</si>
  <si>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</si>
  <si>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</si>
  <si>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</si>
  <si>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</si>
  <si>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</si>
  <si>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</si>
  <si>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</si>
  <si>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</si>
  <si>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</si>
  <si>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</si>
  <si>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</si>
  <si>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</si>
  <si>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</si>
  <si>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</si>
  <si>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</si>
  <si>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</si>
  <si>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</si>
  <si>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</si>
  <si>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</si>
  <si>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</si>
  <si>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</si>
  <si>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</si>
  <si>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</si>
  <si>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</si>
  <si>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</si>
  <si>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</si>
  <si>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</si>
  <si>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</si>
  <si>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</si>
  <si>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</si>
  <si>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</si>
  <si>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</si>
  <si>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</si>
  <si>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</si>
  <si>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</si>
  <si>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</si>
  <si>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</si>
  <si>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</si>
  <si>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</si>
  <si>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</si>
  <si>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</si>
  <si>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</si>
  <si>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</si>
  <si>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</si>
  <si>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</si>
  <si>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</si>
  <si>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</si>
  <si>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</si>
  <si>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</si>
  <si>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</si>
  <si>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</si>
  <si>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</si>
  <si>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</si>
  <si>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</si>
  <si>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</si>
  <si>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</si>
  <si>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</si>
  <si>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</si>
  <si>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</si>
  <si>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</si>
  <si>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</si>
  <si>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</si>
  <si>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</si>
  <si>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</si>
  <si>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</si>
  <si>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</si>
  <si>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</si>
  <si>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</si>
  <si>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</si>
  <si>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</si>
  <si>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</si>
  <si>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</si>
  <si>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</si>
  <si>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</si>
  <si>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</si>
  <si>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</si>
  <si>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</si>
  <si>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</si>
  <si>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</si>
  <si>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</si>
  <si>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</si>
  <si>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</si>
  <si>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</si>
  <si>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</si>
  <si>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</si>
  <si>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</si>
  <si>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</si>
  <si>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</si>
  <si>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</si>
  <si>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</si>
  <si>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</si>
  <si>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</si>
  <si>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</si>
  <si>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</si>
  <si>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</si>
  <si>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</si>
  <si>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</si>
  <si>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</si>
  <si>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</si>
  <si>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</si>
  <si>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</si>
  <si>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</si>
  <si>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</si>
  <si>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</si>
  <si>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</si>
  <si>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</si>
  <si>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</si>
  <si>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</si>
  <si>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</si>
  <si>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</si>
  <si>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</si>
  <si>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</si>
  <si>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</si>
  <si>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</si>
  <si>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</si>
  <si>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</si>
  <si>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</si>
  <si>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</si>
  <si>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</si>
  <si>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</si>
  <si>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</si>
  <si>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</si>
  <si>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</si>
  <si>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</si>
  <si>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</si>
  <si>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</si>
  <si>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</si>
  <si>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</si>
  <si>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</si>
  <si>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</si>
  <si>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</si>
  <si>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</si>
  <si>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</si>
  <si>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</si>
  <si>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</si>
  <si>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</si>
  <si>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</si>
  <si>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</si>
  <si>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</si>
  <si>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</si>
  <si>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</si>
  <si>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</si>
  <si>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</si>
  <si>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</si>
  <si>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</si>
  <si>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</si>
  <si>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</si>
  <si>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</si>
  <si>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</si>
  <si>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</si>
  <si>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</si>
  <si>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</si>
  <si>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</si>
  <si>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</si>
  <si>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</si>
  <si>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</si>
  <si>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</si>
  <si>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</si>
  <si>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</si>
  <si>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</si>
  <si>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</si>
  <si>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</si>
  <si>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</si>
  <si>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</si>
  <si>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</si>
  <si>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</si>
  <si>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</si>
  <si>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</si>
  <si>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</si>
  <si>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</si>
  <si>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</si>
  <si>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</si>
  <si>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</si>
  <si>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</si>
  <si>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</si>
  <si>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</si>
  <si>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</si>
  <si>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</si>
  <si>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</si>
  <si>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</si>
  <si>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</si>
  <si>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</si>
  <si>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</si>
  <si>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</si>
  <si>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</si>
  <si>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</si>
  <si>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</si>
  <si>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</si>
  <si>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</si>
  <si>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</si>
  <si>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</si>
  <si>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</si>
  <si>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</si>
  <si>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</si>
  <si>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</si>
  <si>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</si>
  <si>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</si>
  <si>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</si>
  <si>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</si>
  <si>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</si>
  <si>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</si>
  <si>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</si>
  <si>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</si>
  <si>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</si>
  <si>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</si>
  <si>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</si>
  <si>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</si>
  <si>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</si>
  <si>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</si>
  <si>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</si>
  <si>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</si>
  <si>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</si>
  <si>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</si>
  <si>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</si>
  <si>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</si>
  <si>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</si>
  <si>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</si>
  <si>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</si>
  <si>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</si>
  <si>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</si>
  <si>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</si>
  <si>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</si>
  <si>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</si>
  <si>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</si>
  <si>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</si>
  <si>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</si>
  <si>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</si>
  <si>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</si>
  <si>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</si>
  <si>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</si>
  <si>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</si>
  <si>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</si>
  <si>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</si>
  <si>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</si>
  <si>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</si>
  <si>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</si>
  <si>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</si>
  <si>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</si>
  <si>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</si>
  <si>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</si>
  <si>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</si>
  <si>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</si>
  <si>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</si>
  <si>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</si>
  <si>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</si>
  <si>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</si>
  <si>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</si>
  <si>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</si>
  <si>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</si>
  <si>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</si>
  <si>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</si>
  <si>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</si>
  <si>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</si>
  <si>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</si>
  <si>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</si>
  <si>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</si>
  <si>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</si>
  <si>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</si>
  <si>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</si>
  <si>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</si>
  <si>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</si>
  <si>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</si>
  <si>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</si>
  <si>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</si>
  <si>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</si>
  <si>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</si>
  <si>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</si>
  <si>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</si>
  <si>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</si>
  <si>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</si>
  <si>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</si>
  <si>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</si>
  <si>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</si>
  <si>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</si>
  <si>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</si>
  <si>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</si>
  <si>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</si>
  <si>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</si>
  <si>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</si>
  <si>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</si>
  <si>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</si>
  <si>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</si>
  <si>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</si>
  <si>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</si>
  <si>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</si>
  <si>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</si>
  <si>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</si>
  <si>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</si>
  <si>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</si>
  <si>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</si>
  <si>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</si>
  <si>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</si>
  <si>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</si>
  <si>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</si>
  <si>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</si>
  <si>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</si>
  <si>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</si>
  <si>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</si>
  <si>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</si>
  <si>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</si>
  <si>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</si>
  <si>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</si>
  <si>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</si>
  <si>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</si>
  <si>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</si>
  <si>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</si>
  <si>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</si>
  <si>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</si>
  <si>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</si>
  <si>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</si>
  <si>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</si>
  <si>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</si>
  <si>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</si>
  <si>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</si>
  <si>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</si>
  <si>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</si>
  <si>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</si>
  <si>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</si>
  <si>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</si>
  <si>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</si>
  <si>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</si>
  <si>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</si>
  <si>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</si>
  <si>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</si>
  <si>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</si>
  <si>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</si>
  <si>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</si>
  <si>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</si>
  <si>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</si>
  <si>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</si>
  <si>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</si>
  <si>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</si>
  <si>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</si>
  <si>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</si>
  <si>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</si>
  <si>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</si>
  <si>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</si>
  <si>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</si>
  <si>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</si>
  <si>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</si>
  <si>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</si>
  <si>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</si>
  <si>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</si>
  <si>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</si>
  <si>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</si>
  <si>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</si>
  <si>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</si>
  <si>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</si>
  <si>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</si>
  <si>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</si>
  <si>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</si>
  <si>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</si>
  <si>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</si>
  <si>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</si>
  <si>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</si>
  <si>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</si>
  <si>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</si>
  <si>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</si>
  <si>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</si>
  <si>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</si>
  <si>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</si>
  <si>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</si>
  <si>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</si>
  <si>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</si>
  <si>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</si>
  <si>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</si>
  <si>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</si>
  <si>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</si>
  <si>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</si>
  <si>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</si>
  <si>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</si>
  <si>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</si>
  <si>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</si>
  <si>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</si>
  <si>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</si>
  <si>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</si>
  <si>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</si>
  <si>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</si>
  <si>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</si>
  <si>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</si>
  <si>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</si>
  <si>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</si>
  <si>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</si>
  <si>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</si>
  <si>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</si>
  <si>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</si>
  <si>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</si>
  <si>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</si>
  <si>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</si>
  <si>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</si>
  <si>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</si>
  <si>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</si>
  <si>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</si>
  <si>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</si>
  <si>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</si>
  <si>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</si>
  <si>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</si>
  <si>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</si>
  <si>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</si>
  <si>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</si>
  <si>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</si>
  <si>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</si>
  <si>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</si>
  <si>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</si>
  <si>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</si>
  <si>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</si>
  <si>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</si>
  <si>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</si>
  <si>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</si>
  <si>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</si>
  <si>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</si>
  <si>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</si>
  <si>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</si>
  <si>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</si>
  <si>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</si>
  <si>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</si>
  <si>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</si>
  <si>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</si>
  <si>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</si>
  <si>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</si>
  <si>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</si>
  <si>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</si>
  <si>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</si>
  <si>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</si>
  <si>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</si>
  <si>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</si>
  <si>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</si>
  <si>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</si>
  <si>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</si>
  <si>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</si>
  <si>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</si>
  <si>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</si>
  <si>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</si>
  <si>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</si>
  <si>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</si>
  <si>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</si>
  <si>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</si>
  <si>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</si>
  <si>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</si>
  <si>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</si>
  <si>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</si>
  <si>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</si>
  <si>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</si>
  <si>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</si>
  <si>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</si>
  <si>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</si>
  <si>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</si>
  <si>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</si>
  <si>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</si>
  <si>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</si>
  <si>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</si>
  <si>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</si>
  <si>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</si>
  <si>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</si>
  <si>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</si>
  <si>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</si>
  <si>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</si>
  <si>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</si>
  <si>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</si>
  <si>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</si>
  <si>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</si>
  <si>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</si>
  <si>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</si>
  <si>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</si>
  <si>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</si>
  <si>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</si>
  <si>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</si>
  <si>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</si>
  <si>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</si>
  <si>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</si>
  <si>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</si>
  <si>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</si>
  <si>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</si>
  <si>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</si>
  <si>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</si>
  <si>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</si>
  <si>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</si>
  <si>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</si>
  <si>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</si>
  <si>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</si>
  <si>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</si>
  <si>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</si>
  <si>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</si>
  <si>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</si>
  <si>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</si>
  <si>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</si>
  <si>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</si>
  <si>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</si>
  <si>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</si>
  <si>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</si>
  <si>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</si>
  <si>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</si>
  <si>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</si>
  <si>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</si>
  <si>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</si>
  <si>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</si>
  <si>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</si>
  <si>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</si>
  <si>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</si>
  <si>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</si>
  <si>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</si>
  <si>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</si>
  <si>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</si>
  <si>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</si>
  <si>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</si>
  <si>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</si>
  <si>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</si>
  <si>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</si>
  <si>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</si>
  <si>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</si>
  <si>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</si>
  <si>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</si>
  <si>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</si>
  <si>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</si>
  <si>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</si>
  <si>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</si>
  <si>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</si>
  <si>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</si>
  <si>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</si>
  <si>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</si>
  <si>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</si>
  <si>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</si>
  <si>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</si>
  <si>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</si>
  <si>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</si>
  <si>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</si>
  <si>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</si>
  <si>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</si>
  <si>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</si>
  <si>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</si>
  <si>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</si>
  <si>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</si>
  <si>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</si>
  <si>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</si>
  <si>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</si>
  <si>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</si>
  <si>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</si>
  <si>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</si>
  <si>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</si>
  <si>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</si>
  <si>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</si>
  <si>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</si>
  <si>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</si>
  <si>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</si>
  <si>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</si>
  <si>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</si>
  <si>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</si>
  <si>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</si>
  <si>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</si>
  <si>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</si>
  <si>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</si>
  <si>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</si>
  <si>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</si>
  <si>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</si>
  <si>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</si>
  <si>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</si>
  <si>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</si>
  <si>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</si>
  <si>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</si>
  <si>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</si>
  <si>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</si>
  <si>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</si>
  <si>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</si>
  <si>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</si>
  <si>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</si>
  <si>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</si>
  <si>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</si>
  <si>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</si>
  <si>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</si>
  <si>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</si>
  <si>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</si>
  <si>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</si>
  <si>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</si>
  <si>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</si>
  <si>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</si>
  <si>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</si>
  <si>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</si>
  <si>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</si>
  <si>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</si>
  <si>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</si>
  <si>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</si>
  <si>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</si>
  <si>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</si>
  <si>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</si>
  <si>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</si>
  <si>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</si>
  <si>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</si>
  <si>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</si>
  <si>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</si>
  <si>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</si>
  <si>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</si>
  <si>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</si>
  <si>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</si>
  <si>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</si>
  <si>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</si>
  <si>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</si>
  <si>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</si>
  <si>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</si>
  <si>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</si>
  <si>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</si>
  <si>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</si>
  <si>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</si>
  <si>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</si>
  <si>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</si>
  <si>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</si>
  <si>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</si>
  <si>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</si>
  <si>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</si>
  <si>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</si>
  <si>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</si>
  <si>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</si>
  <si>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</si>
  <si>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</si>
  <si>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</si>
  <si>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</si>
  <si>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</si>
  <si>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</si>
  <si>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</si>
  <si>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</si>
  <si>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</si>
  <si>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</si>
  <si>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</si>
  <si>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</si>
  <si>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</si>
  <si>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</si>
  <si>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</si>
  <si>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</si>
  <si>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</si>
  <si>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</si>
  <si>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</si>
  <si>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</si>
  <si>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</si>
  <si>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</si>
  <si>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</si>
  <si>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</si>
  <si>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</si>
  <si>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</si>
  <si>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</si>
  <si>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</si>
  <si>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</si>
  <si>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</si>
  <si>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</si>
  <si>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</si>
  <si>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</si>
  <si>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</si>
  <si>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</si>
  <si>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</si>
  <si>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</si>
  <si>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</si>
  <si>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</si>
  <si>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</si>
  <si>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</si>
  <si>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</si>
  <si>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</si>
  <si>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</si>
  <si>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</si>
  <si>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</si>
  <si>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</si>
  <si>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</si>
  <si>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</si>
  <si>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</si>
  <si>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</si>
  <si>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</si>
  <si>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</si>
  <si>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</si>
  <si>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</si>
  <si>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</si>
  <si>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</si>
  <si>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</si>
  <si>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</si>
  <si>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</si>
  <si>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</si>
  <si>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</si>
  <si>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</si>
  <si>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</si>
  <si>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</si>
  <si>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</si>
  <si>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</si>
  <si>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</si>
  <si>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</si>
  <si>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</si>
  <si>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</si>
  <si>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</si>
  <si>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</si>
  <si>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</si>
  <si>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</si>
  <si>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</si>
  <si>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</si>
  <si>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</si>
  <si>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</si>
  <si>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</si>
  <si>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</si>
  <si>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</si>
  <si>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</si>
  <si>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</si>
  <si>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</si>
  <si>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</si>
  <si>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</si>
  <si>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</si>
  <si>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</si>
  <si>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</si>
  <si>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</si>
  <si>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</si>
  <si>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</si>
  <si>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</si>
  <si>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</si>
  <si>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</si>
  <si>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</si>
  <si>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</si>
  <si>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</si>
  <si>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</si>
  <si>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</si>
  <si>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</si>
  <si>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</si>
  <si>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</si>
  <si>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</si>
  <si>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</si>
  <si>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</si>
  <si>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</si>
  <si>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</si>
  <si>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</si>
  <si>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</si>
  <si>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</si>
  <si>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</si>
  <si>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</si>
  <si>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</si>
  <si>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</si>
  <si>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</si>
  <si>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</si>
  <si>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</si>
  <si>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</si>
  <si>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</si>
  <si>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</si>
  <si>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</si>
  <si>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</si>
  <si>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</si>
  <si>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</si>
  <si>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</si>
  <si>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</si>
  <si>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</si>
  <si>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</si>
  <si>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</si>
  <si>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</si>
  <si>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</si>
  <si>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</si>
  <si>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</si>
  <si>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</si>
  <si>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</si>
  <si>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</si>
  <si>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</si>
  <si>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</si>
  <si>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</si>
  <si>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</si>
  <si>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</si>
  <si>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</si>
  <si>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</si>
  <si>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</si>
  <si>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</si>
  <si>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</si>
  <si>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</si>
  <si>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</si>
  <si>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</si>
  <si>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</si>
  <si>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</si>
  <si>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</si>
  <si>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</si>
  <si>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</si>
  <si>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</si>
  <si>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</si>
  <si>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</si>
  <si>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</si>
  <si>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</si>
  <si>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</si>
  <si>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</si>
  <si>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</si>
  <si>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</si>
  <si>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</si>
  <si>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</si>
  <si>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</si>
  <si>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</si>
  <si>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</si>
  <si>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</si>
  <si>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</si>
  <si>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</si>
  <si>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</si>
  <si>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</si>
  <si>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</si>
  <si>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</si>
  <si>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</si>
  <si>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</si>
  <si>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</si>
  <si>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</si>
  <si>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</si>
  <si>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</si>
  <si>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</si>
  <si>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</si>
  <si>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</si>
  <si>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</si>
  <si>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</si>
  <si>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</si>
  <si>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</si>
  <si>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</si>
  <si>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</si>
  <si>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</si>
  <si>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</si>
  <si>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</si>
  <si>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</si>
  <si>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</si>
  <si>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</si>
  <si>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</si>
  <si>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</si>
  <si>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</si>
  <si>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</si>
  <si>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</si>
  <si>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</si>
  <si>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</si>
  <si>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</si>
  <si>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</si>
  <si>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</si>
  <si>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</si>
  <si>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</si>
  <si>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</si>
  <si>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</si>
  <si>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</si>
  <si>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</si>
  <si>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</si>
  <si>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</si>
  <si>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</si>
  <si>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</si>
  <si>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</si>
  <si>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</si>
  <si>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</si>
  <si>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</si>
  <si>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</si>
  <si>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</si>
  <si>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</si>
  <si>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</si>
  <si>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</si>
  <si>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</si>
  <si>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</si>
  <si>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</si>
  <si>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</si>
  <si>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</si>
  <si>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</si>
  <si>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</si>
  <si>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</si>
  <si>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</si>
  <si>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</si>
  <si>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</si>
  <si>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</si>
  <si>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</si>
  <si>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</si>
  <si>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</si>
  <si>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</si>
  <si>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</si>
  <si>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</si>
  <si>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</si>
  <si>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</si>
  <si>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</si>
  <si>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</si>
  <si>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</si>
  <si>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</si>
  <si>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</si>
  <si>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</si>
  <si>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</si>
  <si>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</si>
  <si>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</si>
  <si>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</si>
  <si>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</si>
  <si>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</si>
  <si>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</si>
  <si>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</si>
  <si>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</si>
  <si>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</si>
  <si>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</si>
  <si>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</si>
  <si>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</si>
  <si>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</si>
  <si>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</si>
  <si>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</si>
  <si>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</si>
  <si>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</si>
  <si>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</si>
  <si>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</si>
  <si>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</si>
  <si>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</si>
  <si>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</si>
  <si>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</si>
  <si>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</si>
  <si>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</si>
  <si>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</si>
  <si>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</si>
  <si>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</si>
  <si>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</si>
  <si>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</si>
  <si>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</si>
  <si>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</si>
  <si>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</si>
  <si>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</si>
  <si>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</si>
  <si>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</si>
  <si>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</si>
  <si>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</si>
  <si>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</si>
  <si>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</si>
  <si>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</si>
  <si>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</si>
  <si>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</si>
  <si>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</si>
  <si>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</si>
  <si>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</si>
  <si>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</si>
  <si>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</si>
  <si>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</si>
  <si>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</si>
  <si>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</si>
  <si>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</si>
  <si>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</si>
  <si>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</si>
  <si>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</si>
  <si>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</si>
  <si>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</si>
  <si>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</si>
  <si>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</si>
  <si>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</si>
  <si>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</si>
  <si>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</si>
  <si>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</si>
  <si>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</si>
  <si>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</si>
  <si>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</si>
  <si>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</si>
  <si>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</si>
  <si>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</si>
  <si>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</si>
  <si>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</si>
  <si>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</si>
  <si>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</si>
  <si>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</si>
  <si>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</si>
  <si>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</si>
  <si>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</si>
  <si>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</si>
  <si>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</si>
  <si>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</si>
  <si>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</si>
  <si>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</si>
  <si>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</si>
  <si>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</si>
  <si>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</si>
  <si>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</si>
  <si>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</si>
  <si>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</si>
  <si>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</si>
  <si>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</si>
  <si>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</si>
  <si>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</si>
  <si>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</si>
  <si>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</si>
  <si>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</si>
  <si>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</si>
  <si>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</si>
  <si>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</si>
  <si>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</si>
  <si>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</si>
  <si>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</si>
  <si>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</si>
  <si>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</si>
  <si>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</si>
  <si>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</si>
  <si>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</si>
  <si>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</si>
  <si>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</si>
  <si>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</si>
  <si>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</si>
  <si>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</si>
  <si>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</si>
  <si>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</si>
  <si>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</si>
  <si>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</si>
  <si>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</si>
  <si>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</si>
  <si>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</si>
  <si>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</si>
  <si>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</si>
  <si>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</si>
  <si>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</si>
  <si>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</si>
  <si>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</si>
  <si>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</si>
  <si>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</si>
  <si>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</si>
  <si>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</si>
  <si>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</si>
  <si>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</si>
  <si>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</si>
  <si>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</si>
  <si>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</si>
  <si>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</si>
  <si>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</si>
  <si>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</si>
  <si>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</si>
  <si>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</si>
  <si>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</si>
  <si>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</si>
  <si>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</si>
  <si>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</si>
  <si>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</si>
  <si>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</si>
  <si>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</si>
  <si>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</si>
  <si>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</si>
  <si>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</si>
  <si>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</si>
  <si>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</si>
  <si>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</si>
  <si>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</si>
  <si>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</si>
  <si>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</si>
  <si>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</si>
  <si>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</si>
  <si>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</si>
  <si>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</si>
  <si>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</si>
  <si>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</si>
  <si>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</si>
  <si>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</si>
  <si>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</si>
  <si>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</si>
  <si>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</si>
  <si>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</si>
  <si>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</si>
  <si>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</si>
  <si>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</si>
  <si>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</si>
  <si>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</si>
  <si>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</si>
  <si>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</si>
  <si>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</si>
  <si>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</si>
  <si>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</si>
  <si>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</si>
  <si>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</si>
  <si>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</si>
  <si>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</si>
  <si>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</si>
  <si>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</si>
  <si>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</si>
  <si>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</si>
  <si>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</si>
  <si>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</si>
  <si>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</si>
  <si>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</si>
  <si>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</si>
  <si>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</si>
  <si>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</si>
  <si>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</si>
  <si>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</si>
  <si>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</si>
  <si>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</si>
  <si>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</si>
  <si>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</si>
  <si>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</si>
  <si>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</si>
  <si>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</si>
  <si>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</si>
  <si>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</si>
  <si>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</si>
  <si>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</si>
  <si>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</si>
  <si>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</si>
  <si>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</si>
  <si>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</si>
  <si>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</si>
  <si>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</si>
  <si>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</si>
  <si>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</si>
  <si>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</si>
  <si>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</si>
  <si>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</si>
  <si>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</si>
  <si>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</si>
  <si>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</si>
  <si>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</si>
  <si>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</si>
  <si>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</si>
  <si>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</si>
  <si>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</si>
  <si>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</si>
  <si>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</si>
  <si>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</si>
  <si>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</si>
  <si>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</si>
  <si>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</si>
  <si>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</si>
  <si>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</si>
  <si>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</si>
  <si>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</si>
  <si>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</si>
  <si>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</si>
  <si>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</si>
  <si>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</si>
  <si>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</si>
  <si>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</si>
  <si>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</si>
  <si>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</si>
  <si>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</si>
  <si>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</si>
  <si>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</si>
  <si>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</si>
  <si>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</si>
  <si>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</si>
  <si>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</si>
  <si>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</si>
  <si>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</si>
  <si>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</si>
  <si>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</si>
  <si>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</si>
  <si>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</si>
  <si>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</si>
  <si>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</si>
  <si>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</si>
  <si>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</si>
  <si>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</si>
  <si>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</si>
  <si>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</si>
  <si>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</si>
  <si>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</si>
  <si>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</si>
  <si>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</si>
  <si>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</si>
  <si>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</si>
  <si>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</si>
  <si>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</si>
  <si>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</si>
  <si>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</si>
  <si>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</si>
  <si>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</si>
  <si>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</si>
  <si>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</si>
  <si>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</si>
  <si>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</si>
  <si>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</si>
  <si>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</si>
  <si>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</si>
  <si>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</si>
  <si>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</si>
  <si>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</si>
  <si>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</si>
  <si>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</si>
  <si>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</si>
  <si>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</si>
  <si>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</si>
  <si>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</si>
  <si>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</si>
  <si>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</si>
  <si>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</si>
  <si>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</si>
  <si>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</si>
  <si>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</si>
  <si>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</si>
  <si>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</si>
  <si>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</si>
  <si>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</si>
  <si>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</si>
  <si>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</si>
  <si>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</si>
  <si>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</si>
  <si>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</si>
  <si>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</si>
  <si>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</si>
  <si>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</si>
  <si>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</si>
  <si>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</si>
  <si>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</si>
  <si>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</si>
  <si>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</si>
  <si>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</si>
  <si>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</si>
  <si>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</si>
  <si>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</si>
  <si>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</si>
  <si>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</si>
  <si>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</si>
  <si>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</si>
  <si>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</si>
  <si>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</si>
  <si>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</si>
  <si>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</si>
  <si>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</si>
  <si>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</si>
  <si>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</si>
  <si>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</si>
  <si>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</si>
  <si>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</si>
  <si>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</si>
  <si>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</si>
  <si>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</si>
  <si>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</si>
  <si>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</si>
  <si>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</si>
  <si>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</si>
  <si>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</si>
  <si>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</si>
  <si>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</si>
  <si>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</si>
  <si>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</si>
  <si>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</si>
  <si>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</si>
  <si>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</si>
  <si>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</si>
  <si>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</si>
  <si>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</si>
  <si>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</si>
  <si>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</si>
  <si>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</si>
  <si>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</si>
  <si>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</si>
  <si>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</si>
  <si>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</si>
  <si>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</si>
  <si>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</si>
  <si>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</si>
  <si>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</si>
  <si>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</si>
  <si>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</si>
  <si>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</si>
  <si>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</si>
  <si>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</si>
  <si>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</si>
  <si>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</si>
  <si>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</si>
  <si>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</si>
  <si>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</si>
  <si>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</si>
  <si>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</si>
  <si>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</si>
  <si>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</si>
  <si>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</si>
  <si>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</si>
  <si>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</si>
  <si>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</si>
  <si>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</si>
  <si>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</si>
  <si>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</si>
  <si>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</si>
  <si>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</si>
  <si>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</si>
  <si>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</si>
  <si>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</si>
  <si>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</si>
  <si>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</si>
  <si>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</si>
  <si>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</si>
  <si>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</si>
  <si>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</si>
  <si>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</si>
  <si>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</si>
  <si>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</si>
  <si>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</si>
  <si>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</si>
  <si>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</si>
  <si>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</si>
  <si>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</si>
  <si>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</si>
  <si>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</si>
  <si>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</si>
  <si>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</si>
  <si>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</si>
  <si>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</si>
  <si>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</si>
  <si>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</si>
  <si>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</si>
  <si>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</si>
  <si>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</si>
  <si>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</si>
  <si>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</si>
  <si>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</si>
  <si>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</si>
  <si>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</si>
  <si>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</si>
  <si>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</si>
  <si>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</si>
  <si>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</si>
  <si>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</si>
  <si>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</si>
  <si>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</si>
  <si>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</si>
  <si>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</si>
  <si>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</si>
  <si>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</si>
  <si>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</si>
  <si>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</si>
  <si>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</si>
  <si>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</si>
  <si>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</si>
  <si>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</si>
  <si>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</si>
  <si>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</si>
  <si>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</si>
  <si>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</si>
  <si>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</si>
  <si>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</si>
  <si>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</si>
  <si>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</si>
  <si>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</si>
  <si>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</si>
  <si>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</si>
  <si>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</si>
  <si>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</si>
  <si>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</si>
  <si>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</si>
  <si>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</si>
  <si>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</si>
  <si>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</si>
  <si>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</si>
  <si>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</si>
  <si>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</si>
  <si>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</si>
  <si>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</si>
  <si>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</si>
  <si>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</si>
  <si>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</si>
  <si>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</si>
  <si>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</si>
  <si>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</si>
  <si>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</si>
  <si>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</si>
  <si>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</si>
  <si>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</si>
  <si>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</si>
  <si>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</si>
  <si>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</si>
  <si>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</si>
  <si>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</si>
  <si>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</si>
  <si>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</si>
  <si>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</si>
  <si>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</si>
  <si>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</si>
  <si>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</si>
  <si>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</si>
  <si>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</si>
  <si>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</si>
  <si>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</si>
  <si>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</si>
  <si>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</si>
  <si>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</si>
  <si>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</si>
  <si>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</si>
  <si>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</si>
  <si>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</si>
  <si>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</si>
  <si>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</si>
  <si>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</si>
  <si>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</si>
  <si>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</si>
  <si>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</si>
  <si>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</si>
  <si>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</si>
  <si>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</si>
  <si>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</si>
  <si>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</si>
  <si>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</si>
  <si>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</si>
  <si>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</si>
  <si>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</si>
  <si>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</si>
  <si>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</si>
  <si>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</si>
  <si>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</si>
  <si>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</si>
  <si>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</si>
  <si>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</si>
  <si>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</si>
  <si>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</si>
  <si>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</si>
  <si>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</si>
  <si>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</si>
  <si>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</si>
  <si>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</si>
  <si>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</si>
  <si>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</si>
  <si>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</si>
  <si>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</si>
  <si>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</si>
  <si>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</si>
  <si>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</si>
  <si>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</si>
  <si>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</si>
  <si>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</si>
  <si>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</si>
  <si>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</si>
  <si>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</si>
  <si>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</si>
  <si>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</si>
  <si>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</si>
  <si>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</si>
  <si>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</si>
  <si>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</si>
  <si>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</si>
  <si>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</si>
  <si>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</si>
  <si>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</si>
  <si>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</si>
  <si>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</si>
  <si>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</si>
  <si>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</si>
  <si>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</si>
  <si>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</si>
  <si>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</si>
  <si>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</si>
  <si>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</si>
  <si>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</si>
  <si>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</si>
  <si>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</si>
  <si>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</si>
  <si>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</si>
  <si>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</si>
  <si>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</si>
  <si>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</si>
  <si>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</si>
  <si>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</si>
  <si>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</si>
  <si>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</si>
  <si>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</si>
  <si>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</si>
  <si>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</si>
  <si>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</si>
  <si>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</si>
  <si>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</si>
  <si>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</si>
  <si>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</si>
  <si>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</si>
  <si>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</si>
  <si>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</si>
  <si>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</si>
  <si>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</si>
  <si>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</si>
  <si>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</si>
  <si>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</si>
  <si>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</si>
  <si>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</si>
  <si>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</si>
  <si>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</si>
  <si>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</si>
  <si>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</si>
  <si>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</si>
  <si>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</si>
  <si>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</si>
  <si>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</si>
  <si>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</si>
  <si>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</si>
  <si>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</si>
  <si>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</si>
  <si>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</si>
  <si>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</si>
  <si>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</si>
  <si>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</si>
  <si>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</si>
  <si>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</si>
  <si>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</si>
  <si>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</si>
  <si>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</si>
  <si>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</si>
  <si>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</si>
  <si>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</si>
  <si>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</si>
  <si>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</si>
  <si>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</si>
  <si>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</si>
  <si>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</si>
  <si>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</si>
  <si>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</si>
  <si>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</si>
  <si>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</si>
  <si>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</si>
  <si>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</si>
  <si>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</si>
  <si>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</si>
  <si>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</si>
  <si>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</si>
  <si>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</si>
  <si>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</si>
  <si>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</si>
  <si>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</si>
  <si>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</si>
  <si>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</si>
  <si>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</si>
  <si>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</si>
  <si>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</si>
  <si>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</si>
  <si>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</si>
  <si>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</si>
  <si>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</si>
  <si>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</si>
  <si>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</si>
  <si>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</si>
  <si>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</si>
  <si>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</si>
  <si>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</si>
  <si>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</si>
  <si>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</si>
  <si>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</si>
  <si>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</si>
  <si>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</si>
  <si>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</si>
  <si>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</si>
  <si>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</si>
  <si>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</si>
  <si>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</si>
  <si>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</si>
  <si>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</si>
  <si>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</si>
  <si>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</si>
  <si>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</si>
  <si>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</si>
  <si>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</si>
  <si>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</si>
  <si>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</si>
  <si>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</si>
  <si>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</si>
  <si>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</si>
  <si>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</si>
  <si>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</si>
  <si>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</si>
  <si>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</si>
  <si>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</si>
  <si>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</si>
  <si>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</si>
  <si>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</si>
  <si>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</si>
  <si>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</si>
  <si>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</si>
  <si>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</si>
  <si>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</si>
  <si>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</si>
  <si>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</si>
  <si>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</si>
  <si>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</si>
  <si>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</si>
  <si>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</si>
  <si>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</si>
  <si>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</si>
  <si>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</si>
  <si>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</si>
  <si>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</si>
  <si>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</si>
  <si>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</si>
  <si>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</si>
  <si>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</si>
  <si>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</si>
  <si>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</si>
  <si>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</si>
  <si>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</si>
  <si>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</si>
  <si>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</si>
  <si>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</si>
  <si>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</si>
  <si>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</si>
  <si>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</si>
  <si>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</si>
  <si>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</si>
  <si>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</si>
  <si>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</si>
  <si>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</si>
  <si>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</si>
  <si>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</si>
  <si>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</si>
  <si>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</si>
  <si>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</si>
  <si>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</si>
  <si>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</si>
  <si>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</si>
  <si>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</si>
  <si>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</si>
  <si>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</si>
  <si>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</si>
  <si>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</si>
  <si>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</si>
  <si>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</si>
  <si>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</si>
  <si>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</si>
  <si>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</si>
  <si>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</si>
  <si>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</si>
  <si>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</si>
  <si>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</si>
  <si>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</si>
  <si>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</si>
  <si>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</si>
  <si>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</si>
  <si>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</si>
  <si>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</si>
  <si>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</si>
  <si>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</si>
  <si>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</si>
  <si>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</si>
  <si>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</si>
  <si>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</si>
  <si>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</si>
  <si>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</si>
  <si>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</si>
  <si>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</si>
  <si>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</si>
  <si>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</si>
  <si>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</si>
  <si>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</si>
  <si>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</si>
  <si>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</si>
  <si>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</si>
  <si>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</si>
  <si>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</si>
  <si>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</si>
  <si>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</si>
  <si>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</si>
  <si>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</si>
  <si>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</si>
  <si>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</si>
  <si>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</si>
  <si>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</si>
  <si>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</si>
  <si>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</si>
  <si>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</si>
  <si>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</si>
  <si>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</si>
  <si>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</si>
  <si>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</si>
  <si>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</si>
  <si>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</si>
  <si>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</si>
  <si>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</si>
  <si>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</si>
  <si>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</si>
  <si>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</si>
  <si>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</si>
  <si>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</si>
  <si>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</si>
  <si>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</si>
  <si>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</si>
  <si>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</si>
  <si>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</si>
  <si>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</si>
  <si>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</si>
  <si>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</si>
  <si>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</si>
  <si>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</si>
  <si>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</si>
  <si>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</si>
  <si>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</si>
  <si>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</si>
  <si>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</si>
  <si>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</si>
  <si>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</si>
  <si>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</si>
  <si>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</si>
  <si>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</si>
  <si>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</si>
  <si>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</si>
  <si>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</si>
  <si>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</si>
  <si>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</si>
  <si>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</si>
  <si>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</si>
  <si>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</si>
  <si>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</si>
  <si>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</si>
  <si>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</si>
  <si>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</si>
  <si>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</si>
  <si>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</si>
  <si>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</si>
  <si>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</si>
  <si>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</si>
  <si>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</si>
  <si>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</si>
  <si>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</si>
  <si>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</si>
  <si>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</si>
  <si>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</si>
  <si>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</si>
  <si>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</si>
  <si>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</si>
  <si>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</si>
  <si>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</si>
  <si>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</si>
  <si>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</si>
  <si>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</si>
  <si>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</si>
  <si>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</si>
  <si>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</si>
  <si>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</si>
  <si>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</si>
  <si>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</si>
  <si>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</si>
  <si>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</si>
  <si>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</si>
  <si>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</si>
  <si>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</si>
  <si>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</si>
  <si>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</si>
  <si>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</si>
  <si>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</si>
  <si>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</si>
  <si>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</si>
  <si>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</si>
  <si>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</si>
  <si>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</si>
  <si>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</si>
  <si>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</si>
  <si>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</si>
  <si>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</si>
  <si>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</si>
  <si>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</si>
  <si>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</si>
  <si>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</si>
  <si>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</si>
  <si>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</si>
  <si>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</si>
  <si>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</si>
  <si>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</si>
  <si>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</si>
  <si>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</si>
  <si>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</si>
  <si>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</si>
  <si>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</si>
  <si>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</si>
  <si>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</si>
  <si>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</si>
  <si>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</si>
  <si>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</si>
  <si>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</si>
  <si>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</si>
  <si>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</si>
  <si>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</si>
  <si>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</si>
  <si>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</si>
  <si>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</si>
  <si>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</si>
  <si>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</si>
  <si>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</si>
  <si>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</si>
  <si>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</si>
  <si>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</si>
  <si>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</si>
  <si>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</si>
  <si>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</si>
  <si>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</si>
  <si>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</si>
  <si>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</si>
  <si>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</si>
  <si>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</si>
  <si>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</si>
  <si>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</si>
  <si>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</si>
  <si>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</si>
  <si>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</si>
  <si>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</si>
  <si>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</si>
  <si>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</si>
  <si>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</si>
  <si>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</si>
  <si>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</si>
  <si>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</si>
  <si>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</si>
  <si>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</si>
  <si>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</si>
  <si>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</si>
  <si>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</si>
  <si>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</si>
  <si>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</si>
  <si>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</si>
  <si>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</si>
  <si>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</si>
  <si>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</si>
  <si>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</si>
  <si>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</si>
  <si>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</si>
  <si>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</si>
  <si>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</si>
  <si>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</si>
  <si>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</si>
  <si>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</si>
  <si>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</si>
  <si>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</si>
  <si>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</si>
  <si>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</si>
  <si>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</si>
  <si>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</si>
  <si>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</si>
  <si>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</si>
  <si>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</si>
  <si>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</si>
  <si>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</si>
  <si>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</si>
  <si>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</si>
  <si>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</si>
  <si>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</si>
  <si>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</si>
  <si>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</si>
  <si>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</si>
  <si>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</si>
  <si>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</si>
  <si>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</si>
  <si>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</si>
  <si>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</si>
  <si>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</si>
  <si>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</si>
  <si>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</si>
  <si>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</si>
  <si>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</si>
  <si>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</si>
  <si>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</si>
  <si>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</si>
  <si>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</si>
  <si>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</si>
  <si>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</si>
  <si>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</si>
  <si>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</si>
  <si>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</si>
  <si>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</si>
  <si>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</si>
  <si>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</si>
  <si>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</si>
  <si>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</si>
  <si>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</si>
  <si>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</si>
  <si>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</si>
  <si>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</si>
  <si>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</si>
  <si>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</si>
  <si>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</si>
  <si>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</si>
  <si>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</si>
  <si>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</si>
  <si>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</si>
  <si>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</si>
  <si>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</si>
  <si>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</si>
  <si>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</si>
  <si>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</si>
  <si>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</si>
  <si>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</si>
  <si>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</si>
  <si>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</si>
  <si>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</si>
  <si>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</si>
  <si>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</si>
  <si>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</si>
  <si>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</si>
  <si>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</si>
  <si>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</si>
  <si>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</si>
  <si>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</si>
  <si>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</si>
  <si>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</si>
  <si>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</si>
  <si>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</si>
  <si>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</si>
  <si>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</si>
  <si>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</si>
  <si>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</si>
  <si>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</si>
  <si>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</si>
  <si>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</si>
  <si>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</si>
  <si>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</si>
  <si>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</si>
  <si>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</si>
  <si>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</si>
  <si>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</si>
  <si>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</si>
  <si>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</si>
  <si>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</si>
  <si>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</si>
  <si>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</si>
  <si>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</si>
  <si>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</si>
  <si>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</si>
  <si>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</si>
  <si>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</si>
  <si>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</si>
  <si>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</si>
  <si>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</si>
  <si>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</si>
  <si>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</si>
  <si>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</si>
  <si>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</si>
  <si>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</si>
  <si>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</si>
  <si>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</si>
  <si>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</si>
  <si>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</si>
  <si>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</si>
  <si>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</si>
  <si>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</si>
  <si>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</si>
  <si>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</si>
  <si>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</si>
  <si>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</si>
  <si>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</si>
  <si>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</si>
  <si>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</si>
  <si>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</si>
  <si>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</si>
  <si>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</si>
  <si>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</si>
  <si>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</si>
  <si>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</si>
  <si>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</si>
  <si>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</si>
  <si>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</si>
  <si>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</si>
  <si>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</si>
  <si>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</si>
  <si>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</si>
  <si>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</si>
  <si>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</si>
  <si>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</si>
  <si>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</si>
  <si>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</si>
  <si>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</si>
  <si>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</si>
  <si>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</si>
  <si>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</si>
  <si>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</si>
  <si>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</si>
  <si>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</si>
  <si>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</si>
  <si>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</si>
  <si>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</si>
  <si>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</si>
  <si>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</si>
  <si>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</si>
  <si>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</si>
  <si>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</si>
  <si>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</si>
  <si>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</si>
  <si>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</si>
  <si>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</si>
  <si>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</si>
  <si>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</si>
  <si>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</si>
  <si>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</si>
  <si>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</si>
  <si>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</si>
  <si>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</si>
  <si>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</si>
  <si>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</si>
  <si>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</si>
  <si>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</si>
  <si>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</si>
  <si>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</si>
  <si>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</si>
  <si>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</si>
  <si>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</si>
  <si>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</si>
  <si>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</si>
  <si>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</si>
  <si>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</si>
  <si>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</si>
  <si>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</si>
  <si>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</si>
  <si>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</si>
  <si>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</si>
  <si>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</si>
  <si>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</si>
  <si>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</si>
  <si>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</si>
  <si>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</si>
  <si>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</si>
  <si>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</si>
  <si>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</si>
  <si>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</si>
  <si>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</si>
  <si>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</si>
  <si>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</si>
  <si>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</si>
  <si>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</si>
  <si>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</si>
  <si>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</si>
  <si>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</si>
  <si>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</si>
  <si>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</si>
  <si>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</si>
  <si>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</si>
  <si>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</si>
  <si>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</si>
  <si>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</si>
  <si>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</si>
  <si>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</si>
  <si>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</si>
  <si>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</si>
  <si>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</si>
  <si>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</si>
  <si>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</si>
  <si>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</si>
  <si>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</si>
  <si>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</si>
  <si>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</si>
  <si>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</si>
  <si>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</si>
  <si>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</si>
  <si>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</si>
  <si>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</si>
  <si>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</si>
  <si>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</si>
  <si>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</si>
  <si>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</si>
  <si>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</si>
  <si>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</si>
  <si>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</si>
  <si>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</si>
  <si>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</si>
  <si>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</si>
  <si>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</si>
  <si>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</si>
  <si>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</si>
  <si>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</si>
  <si>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</si>
  <si>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</si>
  <si>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</si>
  <si>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</si>
  <si>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</si>
  <si>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</si>
  <si>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</si>
  <si>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</si>
  <si>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</si>
  <si>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</si>
  <si>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</si>
  <si>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</si>
  <si>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</si>
  <si>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</si>
  <si>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</si>
  <si>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</si>
  <si>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</si>
  <si>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</si>
  <si>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</si>
  <si>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</si>
  <si>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</si>
  <si>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</si>
  <si>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</si>
  <si>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</si>
  <si>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</si>
  <si>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</si>
  <si>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</si>
  <si>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</si>
  <si>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</si>
  <si>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</si>
  <si>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</si>
  <si>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</si>
  <si>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</si>
  <si>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</si>
  <si>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</si>
  <si>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</si>
  <si>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</si>
  <si>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</si>
  <si>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</si>
  <si>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</si>
  <si>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</si>
  <si>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</si>
  <si>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</si>
  <si>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</si>
  <si>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</si>
  <si>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</si>
  <si>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</si>
  <si>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</si>
  <si>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</si>
  <si>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</si>
  <si>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</si>
  <si>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</si>
  <si>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</si>
  <si>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</si>
  <si>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</si>
  <si>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</si>
  <si>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</si>
  <si>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</si>
  <si>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</si>
  <si>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</si>
  <si>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</si>
  <si>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</si>
  <si>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</si>
  <si>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</si>
  <si>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</si>
  <si>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</si>
  <si>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</si>
  <si>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</si>
  <si>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</si>
  <si>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</si>
  <si>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</si>
  <si>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</si>
  <si>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</si>
  <si>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</si>
  <si>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</si>
  <si>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</si>
  <si>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</si>
  <si>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</si>
  <si>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</si>
  <si>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</si>
  <si>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</si>
  <si>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</si>
  <si>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</si>
  <si>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</si>
  <si>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</si>
  <si>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</si>
  <si>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</si>
  <si>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</si>
  <si>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</si>
  <si>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</si>
  <si>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</si>
  <si>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</si>
  <si>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</si>
  <si>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</si>
  <si>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</si>
  <si>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</si>
  <si>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</si>
  <si>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</si>
  <si>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</si>
  <si>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</si>
  <si>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</si>
  <si>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</si>
  <si>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</si>
  <si>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</si>
  <si>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</si>
  <si>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</si>
  <si>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</si>
  <si>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</si>
  <si>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</si>
  <si>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</si>
  <si>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</si>
  <si>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</si>
  <si>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</si>
  <si>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</si>
  <si>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</si>
  <si>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</si>
  <si>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</si>
  <si>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</si>
  <si>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</si>
  <si>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</si>
  <si>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</si>
  <si>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</si>
  <si>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</si>
  <si>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</si>
  <si>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</si>
  <si>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</si>
  <si>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</si>
  <si>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</si>
  <si>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</si>
  <si>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</si>
  <si>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</si>
  <si>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</si>
  <si>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</si>
  <si>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</si>
  <si>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</si>
  <si>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</si>
  <si>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</si>
  <si>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</si>
  <si>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</si>
  <si>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</si>
  <si>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</si>
  <si>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</si>
  <si>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</si>
  <si>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</si>
  <si>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</si>
  <si>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</si>
  <si>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</si>
  <si>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</si>
  <si>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</si>
  <si>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</si>
  <si>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</si>
  <si>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</si>
  <si>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</si>
  <si>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</si>
  <si>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</si>
  <si>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</si>
  <si>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</si>
  <si>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</si>
  <si>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</si>
  <si>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</si>
  <si>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</si>
  <si>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</si>
  <si>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</si>
  <si>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</si>
  <si>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</si>
  <si>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</si>
  <si>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</si>
  <si>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</si>
  <si>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</si>
  <si>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</si>
  <si>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</si>
  <si>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</si>
  <si>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</si>
  <si>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</si>
  <si>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</si>
  <si>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</si>
  <si>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</si>
  <si>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</si>
  <si>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</si>
  <si>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</si>
  <si>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</si>
  <si>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</si>
  <si>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</si>
  <si>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</si>
  <si>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</si>
  <si>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</si>
  <si>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</si>
  <si>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</si>
  <si>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</si>
  <si>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</si>
  <si>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</si>
  <si>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</si>
  <si>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</si>
  <si>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</si>
  <si>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</si>
  <si>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</si>
  <si>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</si>
  <si>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</si>
  <si>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</si>
  <si>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</si>
  <si>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</si>
  <si>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</si>
  <si>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</si>
  <si>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</si>
  <si>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</si>
  <si>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</si>
  <si>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</si>
  <si>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</si>
  <si>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</si>
  <si>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</si>
  <si>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</si>
  <si>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</si>
  <si>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</si>
  <si>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</si>
  <si>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</si>
  <si>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</si>
  <si>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</si>
  <si>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</si>
  <si>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</si>
  <si>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</si>
  <si>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</si>
  <si>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</si>
  <si>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</si>
  <si>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</si>
  <si>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</si>
  <si>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</si>
  <si>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</si>
  <si>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</si>
  <si>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</si>
  <si>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</si>
  <si>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</si>
  <si>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</si>
  <si>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</si>
  <si>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</si>
  <si>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</si>
  <si>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</si>
  <si>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</si>
  <si>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</si>
  <si>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</si>
  <si>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</si>
  <si>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</si>
  <si>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</si>
  <si>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</si>
  <si>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</si>
  <si>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</si>
  <si>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</si>
  <si>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</si>
  <si>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</si>
  <si>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</si>
  <si>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</si>
  <si>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</si>
  <si>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</si>
  <si>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</si>
  <si>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</si>
  <si>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</si>
  <si>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</si>
  <si>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</si>
  <si>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</si>
  <si>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</si>
  <si>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</si>
  <si>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</si>
  <si>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</si>
  <si>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</si>
  <si>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</si>
  <si>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</si>
  <si>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</si>
  <si>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</si>
  <si>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</si>
  <si>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</si>
  <si>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</si>
  <si>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</si>
  <si>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</si>
  <si>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</si>
  <si>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</si>
  <si>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</si>
  <si>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</si>
  <si>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</si>
  <si>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</si>
  <si>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</si>
  <si>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</si>
  <si>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</si>
  <si>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</si>
  <si>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</si>
  <si>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</si>
  <si>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</si>
  <si>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</si>
  <si>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</si>
  <si>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</si>
  <si>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</si>
  <si>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</si>
  <si>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</si>
  <si>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</si>
  <si>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</si>
  <si>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</si>
  <si>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</si>
  <si>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</si>
  <si>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</si>
  <si>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</si>
  <si>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</si>
  <si>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</si>
  <si>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</si>
  <si>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</si>
  <si>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</si>
  <si>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</si>
  <si>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</si>
  <si>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</si>
  <si>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</si>
  <si>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</si>
  <si>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</si>
  <si>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</si>
  <si>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</si>
  <si>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</si>
  <si>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</si>
  <si>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</si>
  <si>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</si>
  <si>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</si>
  <si>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</si>
  <si>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</si>
  <si>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</si>
  <si>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</si>
  <si>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</si>
  <si>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</si>
  <si>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</si>
  <si>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</si>
  <si>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</si>
  <si>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</si>
  <si>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</si>
  <si>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</si>
  <si>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</si>
  <si>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</si>
  <si>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</si>
  <si>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</si>
  <si>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</si>
  <si>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</si>
  <si>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</si>
  <si>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</si>
  <si>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</si>
  <si>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</si>
  <si>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</si>
  <si>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</si>
  <si>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</si>
  <si>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</si>
  <si>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</si>
  <si>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</si>
  <si>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</si>
  <si>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</si>
  <si>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</si>
  <si>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</si>
  <si>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</si>
  <si>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</si>
  <si>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</si>
  <si>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</si>
  <si>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</si>
  <si>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</si>
  <si>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</si>
  <si>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</si>
  <si>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</si>
  <si>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</si>
  <si>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</si>
  <si>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</si>
  <si>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</si>
  <si>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</si>
  <si>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</si>
  <si>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</si>
  <si>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</si>
  <si>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</si>
  <si>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</si>
  <si>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</si>
  <si>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</si>
  <si>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</si>
  <si>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</si>
  <si>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</si>
  <si>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</si>
  <si>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</si>
  <si>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</si>
  <si>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</si>
  <si>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</si>
  <si>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</si>
  <si>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</si>
  <si>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</si>
  <si>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</si>
  <si>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</si>
  <si>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</si>
  <si>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</si>
  <si>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</si>
  <si>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</si>
  <si>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</si>
  <si>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</si>
  <si>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</si>
  <si>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</si>
  <si>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</si>
  <si>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</si>
  <si>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</si>
  <si>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</si>
  <si>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</si>
  <si>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</si>
  <si>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</si>
  <si>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</si>
  <si>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</si>
  <si>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</si>
  <si>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</si>
  <si>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</si>
  <si>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</si>
  <si>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</si>
  <si>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</si>
  <si>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</si>
  <si>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</si>
  <si>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</si>
  <si>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</si>
  <si>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</si>
  <si>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</si>
  <si>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</si>
  <si>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</si>
  <si>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</si>
  <si>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</si>
  <si>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</si>
  <si>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</si>
  <si>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</si>
  <si>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</si>
  <si>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</si>
  <si>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</si>
  <si>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</si>
  <si>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</si>
  <si>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</si>
  <si>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</si>
  <si>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</si>
  <si>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</si>
  <si>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</si>
  <si>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</si>
  <si>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</si>
  <si>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</si>
  <si>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</si>
  <si>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</si>
  <si>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</si>
  <si>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</si>
  <si>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</si>
  <si>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</si>
  <si>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</si>
  <si>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</si>
  <si>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</si>
  <si>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</si>
  <si>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</si>
  <si>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</si>
  <si>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</si>
  <si>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</si>
  <si>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</si>
  <si>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</si>
  <si>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</si>
  <si>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</si>
  <si>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</si>
  <si>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</si>
  <si>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</si>
  <si>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</si>
  <si>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</si>
  <si>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</si>
  <si>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</si>
  <si>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</si>
  <si>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</si>
  <si>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</si>
  <si>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</si>
  <si>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</si>
  <si>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</si>
  <si>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</si>
  <si>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</si>
  <si>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</si>
  <si>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</si>
  <si>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</si>
  <si>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</si>
  <si>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</si>
  <si>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</si>
  <si>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</si>
  <si>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</si>
  <si>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</si>
  <si>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</si>
  <si>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</si>
  <si>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</si>
  <si>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</si>
  <si>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</si>
  <si>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</si>
  <si>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</si>
  <si>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</si>
  <si>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</si>
  <si>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</si>
  <si>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</si>
  <si>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</si>
  <si>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</si>
  <si>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</si>
  <si>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</si>
  <si>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</si>
  <si>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</si>
  <si>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</si>
  <si>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</si>
  <si>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</si>
  <si>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</si>
  <si>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</si>
  <si>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</si>
  <si>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</si>
  <si>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</si>
  <si>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</si>
  <si>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</si>
  <si>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</si>
  <si>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</si>
  <si>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</si>
  <si>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</si>
  <si>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</si>
  <si>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</si>
  <si>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</si>
  <si>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</si>
  <si>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</si>
  <si>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</si>
  <si>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</si>
  <si>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</si>
  <si>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</si>
  <si>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</si>
  <si>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</si>
  <si>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</si>
  <si>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</si>
  <si>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</si>
  <si>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</si>
  <si>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</si>
  <si>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</si>
  <si>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</si>
  <si>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</si>
  <si>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</si>
  <si>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</si>
  <si>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</si>
  <si>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</si>
  <si>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</si>
  <si>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</si>
  <si>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</si>
  <si>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</si>
  <si>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</si>
  <si>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</si>
  <si>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</si>
  <si>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</si>
  <si>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</si>
  <si>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</si>
  <si>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</si>
  <si>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</si>
  <si>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</si>
  <si>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</si>
  <si>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</si>
  <si>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</si>
  <si>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</si>
  <si>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</si>
  <si>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</si>
  <si>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</si>
  <si>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</si>
  <si>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</si>
  <si>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</si>
  <si>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</si>
  <si>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</si>
  <si>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</si>
  <si>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</si>
  <si>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</si>
  <si>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</si>
  <si>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</si>
  <si>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</si>
  <si>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</si>
  <si>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</si>
  <si>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</si>
  <si>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</si>
  <si>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</si>
  <si>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</si>
  <si>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</si>
  <si>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</si>
  <si>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</si>
  <si>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</si>
  <si>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</si>
  <si>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</si>
  <si>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</si>
  <si>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</si>
  <si>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</si>
  <si>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</si>
  <si>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</si>
  <si>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</si>
  <si>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</si>
  <si>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</si>
  <si>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</si>
  <si>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</si>
  <si>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</si>
  <si>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</si>
  <si>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</si>
  <si>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</si>
  <si>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</si>
  <si>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</si>
  <si>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</si>
  <si>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</si>
  <si>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</si>
  <si>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</si>
  <si>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</si>
  <si>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</si>
  <si>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</si>
  <si>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</si>
  <si>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</si>
  <si>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</si>
  <si>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</si>
  <si>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</si>
  <si>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</si>
  <si>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</si>
  <si>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</si>
  <si>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</si>
  <si>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</si>
  <si>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</si>
  <si>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</si>
  <si>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</si>
  <si>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</si>
  <si>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</si>
  <si>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</si>
  <si>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</si>
  <si>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</si>
  <si>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</si>
  <si>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</si>
  <si>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</si>
  <si>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</si>
  <si>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</si>
  <si>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</si>
  <si>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</si>
  <si>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</si>
  <si>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</si>
  <si>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</si>
  <si>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</si>
  <si>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</si>
  <si>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</si>
  <si>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</si>
  <si>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</si>
  <si>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</si>
  <si>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</si>
  <si>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</si>
  <si>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</si>
  <si>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</si>
  <si>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</si>
  <si>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</si>
  <si>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</si>
  <si>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</si>
  <si>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</si>
  <si>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</si>
  <si>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</si>
  <si>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</si>
  <si>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</si>
  <si>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</si>
  <si>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</si>
  <si>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</si>
  <si>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</si>
  <si>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</si>
  <si>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</si>
  <si>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</si>
  <si>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</si>
  <si>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</si>
  <si>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</si>
  <si>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</si>
  <si>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</si>
  <si>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</si>
  <si>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</si>
  <si>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</si>
  <si>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</si>
  <si>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</si>
  <si>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</si>
  <si>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</si>
  <si>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</si>
  <si>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</si>
  <si>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</si>
  <si>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</si>
  <si>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</si>
  <si>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</si>
  <si>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</si>
  <si>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</si>
  <si>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</si>
  <si>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</si>
  <si>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</si>
  <si>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</si>
  <si>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</si>
  <si>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</si>
  <si>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</si>
  <si>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</si>
  <si>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</si>
  <si>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</si>
  <si>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</si>
  <si>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</si>
  <si>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</si>
  <si>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</si>
  <si>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</si>
  <si>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</si>
  <si>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</si>
  <si>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</si>
  <si>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</si>
  <si>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</si>
  <si>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</si>
  <si>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</si>
  <si>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</si>
  <si>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</si>
  <si>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</si>
  <si>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</si>
  <si>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</si>
  <si>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</si>
  <si>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</si>
  <si>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</si>
  <si>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</si>
  <si>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</si>
  <si>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</si>
  <si>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</si>
  <si>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</si>
  <si>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</si>
  <si>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</si>
  <si>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</si>
  <si>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</si>
  <si>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</si>
  <si>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</si>
  <si>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</si>
  <si>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</si>
  <si>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</si>
  <si>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</si>
  <si>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</si>
  <si>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</si>
  <si>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</si>
  <si>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</si>
  <si>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</si>
  <si>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</si>
  <si>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</si>
  <si>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</si>
  <si>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</si>
  <si>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</si>
  <si>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</si>
  <si>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</si>
  <si>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</si>
  <si>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</si>
  <si>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</si>
  <si>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</si>
  <si>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</si>
  <si>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</si>
  <si>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</si>
  <si>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</si>
  <si>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</si>
  <si>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</si>
  <si>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</si>
  <si>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</si>
  <si>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</si>
  <si>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</si>
  <si>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</si>
  <si>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</si>
  <si>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</si>
  <si>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</si>
  <si>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</si>
  <si>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</si>
  <si>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</si>
  <si>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</si>
  <si>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</si>
  <si>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</si>
  <si>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</si>
  <si>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</si>
  <si>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</si>
  <si>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</si>
  <si>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</si>
  <si>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</si>
  <si>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</si>
  <si>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</si>
  <si>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</si>
  <si>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</si>
  <si>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</si>
  <si>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</si>
  <si>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</si>
  <si>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</si>
  <si>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</si>
  <si>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</si>
  <si>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</si>
  <si>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</si>
  <si>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</si>
  <si>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</si>
  <si>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</si>
  <si>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</si>
  <si>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</si>
  <si>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</si>
  <si>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</si>
  <si>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</si>
  <si>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</si>
  <si>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</si>
  <si>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</si>
  <si>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</si>
  <si>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</si>
  <si>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</si>
  <si>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</si>
  <si>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</si>
  <si>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</si>
  <si>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</si>
  <si>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</si>
  <si>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</si>
  <si>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</si>
  <si>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</si>
  <si>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</si>
  <si>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</si>
  <si>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</si>
  <si>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</si>
  <si>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</si>
  <si>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</si>
  <si>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</si>
  <si>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</si>
  <si>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</si>
  <si>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</si>
  <si>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</si>
  <si>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</si>
  <si>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</si>
  <si>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</si>
  <si>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</si>
  <si>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</si>
  <si>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</si>
  <si>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</si>
  <si>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</si>
  <si>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</si>
  <si>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</si>
  <si>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</si>
  <si>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</si>
  <si>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</si>
  <si>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</si>
  <si>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</si>
  <si>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</si>
  <si>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</si>
  <si>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</si>
  <si>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</si>
  <si>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</si>
  <si>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</si>
  <si>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</si>
  <si>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</si>
  <si>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</si>
  <si>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</si>
  <si>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</si>
  <si>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</si>
  <si>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</si>
  <si>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</si>
  <si>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</si>
  <si>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</si>
  <si>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</si>
  <si>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</si>
  <si>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</si>
  <si>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</si>
  <si>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</si>
  <si>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</si>
  <si>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</si>
  <si>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</si>
  <si>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</si>
  <si>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</si>
  <si>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</si>
  <si>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</si>
  <si>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</si>
  <si>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</si>
  <si>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</si>
  <si>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</si>
  <si>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</si>
  <si>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</si>
  <si>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</si>
  <si>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</si>
  <si>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</si>
  <si>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</si>
  <si>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</si>
  <si>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</si>
  <si>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</si>
  <si>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</si>
  <si>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</si>
  <si>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</si>
  <si>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</si>
  <si>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</si>
  <si>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</si>
  <si>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</si>
  <si>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</si>
  <si>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</si>
  <si>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</si>
  <si>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</si>
  <si>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</si>
  <si>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</si>
  <si>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</si>
  <si>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</si>
  <si>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</si>
  <si>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</si>
  <si>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</si>
  <si>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</si>
  <si>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</si>
  <si>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</si>
  <si>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</si>
  <si>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</si>
  <si>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</si>
  <si>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</si>
  <si>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</si>
  <si>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</si>
  <si>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</si>
  <si>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</si>
  <si>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</si>
  <si>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</si>
  <si>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</si>
  <si>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</si>
  <si>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</si>
  <si>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</si>
  <si>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</si>
  <si>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</si>
  <si>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</si>
  <si>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</si>
  <si>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</si>
  <si>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</si>
  <si>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</si>
  <si>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</si>
  <si>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</si>
  <si>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</si>
  <si>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</si>
  <si>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</si>
  <si>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</si>
  <si>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</si>
  <si>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</si>
  <si>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</si>
  <si>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</si>
  <si>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</si>
  <si>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</si>
  <si>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</si>
  <si>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</si>
  <si>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</si>
  <si>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</si>
  <si>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</si>
  <si>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</si>
  <si>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</si>
  <si>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</si>
  <si>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</si>
  <si>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</si>
  <si>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</si>
  <si>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</si>
  <si>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</si>
  <si>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</si>
  <si>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</si>
  <si>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</si>
  <si>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</si>
  <si>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</si>
  <si>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</si>
  <si>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</si>
  <si>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</si>
  <si>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</si>
  <si>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</si>
  <si>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</si>
  <si>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</si>
  <si>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</si>
  <si>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</si>
  <si>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</si>
  <si>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</si>
  <si>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</si>
  <si>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</si>
  <si>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</si>
  <si>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</si>
  <si>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</si>
  <si>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</si>
  <si>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</si>
  <si>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</si>
  <si>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</si>
  <si>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</si>
  <si>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</si>
  <si>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</si>
  <si>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</si>
  <si>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</si>
  <si>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</si>
  <si>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</si>
  <si>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</si>
  <si>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</si>
  <si>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</si>
  <si>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</si>
  <si>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</si>
  <si>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</si>
  <si>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</si>
  <si>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</si>
  <si>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</si>
  <si>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</si>
  <si>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</si>
  <si>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</si>
  <si>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</si>
  <si>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</si>
  <si>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</si>
  <si>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</si>
  <si>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</si>
  <si>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</si>
  <si>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</si>
  <si>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</si>
  <si>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</si>
  <si>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</si>
  <si>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</si>
  <si>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</si>
  <si>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</si>
  <si>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</si>
  <si>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</si>
  <si>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</si>
  <si>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</si>
  <si>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</si>
  <si>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</si>
  <si>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</si>
  <si>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</si>
  <si>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</si>
  <si>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</si>
  <si>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</si>
  <si>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</si>
  <si>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</si>
  <si>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</si>
  <si>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</si>
  <si>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</si>
  <si>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</si>
  <si>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</si>
  <si>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</si>
  <si>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</si>
  <si>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</si>
  <si>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</si>
  <si>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</si>
  <si>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</si>
  <si>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</si>
  <si>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</si>
  <si>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</si>
  <si>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</si>
  <si>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</si>
  <si>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</si>
  <si>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</si>
  <si>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</si>
  <si>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</si>
  <si>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</si>
  <si>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</si>
  <si>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</si>
  <si>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</si>
  <si>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</si>
  <si>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</si>
  <si>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</si>
  <si>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</si>
  <si>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</si>
  <si>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</si>
  <si>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</si>
  <si>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</si>
  <si>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</si>
  <si>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</si>
  <si>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</si>
  <si>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</si>
  <si>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</si>
  <si>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</si>
  <si>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</si>
  <si>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</si>
  <si>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</si>
  <si>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</si>
  <si>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</si>
  <si>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</si>
  <si>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</si>
  <si>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</si>
  <si>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</si>
  <si>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</si>
  <si>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</si>
  <si>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</si>
  <si>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</si>
  <si>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</si>
  <si>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</si>
  <si>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</si>
  <si>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</si>
  <si>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</si>
  <si>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</si>
  <si>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</si>
  <si>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</si>
  <si>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</si>
  <si>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</si>
  <si>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</si>
  <si>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</si>
  <si>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</si>
  <si>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</si>
  <si>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</si>
  <si>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</si>
  <si>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</si>
  <si>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</si>
  <si>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</si>
  <si>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</si>
  <si>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</si>
  <si>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</si>
  <si>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</si>
  <si>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</si>
  <si>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</si>
  <si>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</si>
  <si>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</si>
  <si>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</si>
  <si>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</si>
  <si>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</si>
  <si>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</si>
  <si>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</si>
  <si>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</si>
  <si>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</si>
  <si>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</si>
  <si>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</si>
  <si>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</si>
  <si>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</si>
  <si>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</si>
  <si>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</si>
  <si>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</si>
  <si>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</si>
  <si>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</si>
  <si>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</si>
  <si>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</si>
  <si>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</si>
  <si>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</si>
  <si>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</si>
  <si>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</si>
  <si>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</si>
  <si>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</si>
  <si>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</si>
  <si>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</si>
  <si>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</si>
  <si>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</si>
  <si>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</si>
  <si>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</si>
  <si>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</si>
  <si>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</si>
  <si>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</si>
  <si>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</si>
  <si>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</si>
  <si>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</si>
  <si>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</si>
  <si>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</si>
  <si>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</si>
  <si>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</si>
  <si>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</si>
  <si>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</si>
  <si>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</si>
  <si>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</si>
  <si>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</si>
  <si>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</si>
  <si>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</si>
  <si>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</si>
  <si>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</si>
  <si>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</si>
  <si>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</si>
  <si>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</si>
  <si>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</si>
  <si>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</si>
  <si>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</si>
  <si>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</si>
  <si>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</si>
  <si>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</si>
  <si>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</si>
  <si>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</si>
  <si>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</si>
  <si>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</si>
  <si>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</si>
  <si>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</si>
  <si>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</si>
  <si>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</si>
  <si>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</si>
  <si>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</si>
  <si>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</si>
  <si>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</si>
  <si>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</si>
  <si>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</si>
  <si>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</si>
  <si>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</si>
  <si>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</si>
  <si>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</si>
  <si>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</si>
  <si>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</si>
  <si>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</si>
  <si>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</si>
  <si>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</si>
  <si>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</si>
  <si>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</si>
  <si>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</si>
  <si>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</si>
  <si>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</si>
  <si>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</si>
  <si>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</si>
  <si>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</si>
  <si>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</si>
  <si>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</si>
  <si>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</si>
  <si>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</si>
  <si>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</si>
  <si>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</si>
  <si>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</si>
  <si>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</si>
  <si>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</si>
  <si>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</si>
  <si>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</si>
  <si>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</si>
  <si>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</si>
  <si>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</si>
  <si>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</si>
  <si>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</si>
  <si>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</si>
  <si>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</si>
  <si>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</si>
  <si>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</si>
  <si>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</si>
  <si>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</si>
  <si>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</si>
  <si>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</si>
  <si>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</si>
  <si>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</si>
  <si>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</si>
  <si>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</si>
  <si>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</si>
  <si>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</si>
  <si>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</si>
  <si>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</si>
  <si>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</si>
  <si>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</si>
  <si>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</si>
  <si>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</si>
  <si>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</si>
  <si>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</si>
  <si>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</si>
  <si>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</si>
  <si>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</si>
  <si>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</si>
  <si>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</si>
  <si>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</si>
  <si>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</si>
  <si>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</si>
  <si>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</si>
  <si>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</si>
  <si>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</si>
  <si>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</si>
  <si>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</si>
  <si>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</si>
  <si>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</si>
  <si>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</si>
  <si>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</si>
  <si>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</si>
  <si>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</si>
  <si>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</si>
  <si>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</si>
  <si>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</si>
  <si>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</si>
  <si>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</si>
  <si>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</si>
  <si>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</si>
  <si>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</si>
  <si>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</si>
  <si>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</si>
  <si>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</si>
  <si>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</si>
  <si>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</si>
  <si>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</si>
  <si>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</si>
  <si>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</si>
  <si>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</si>
  <si>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</si>
  <si>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</si>
  <si>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</si>
  <si>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</si>
  <si>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</si>
  <si>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</si>
  <si>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</si>
  <si>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</si>
  <si>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</si>
  <si>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</si>
  <si>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</si>
  <si>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</si>
  <si>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</si>
  <si>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</si>
  <si>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</si>
  <si>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</si>
  <si>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</si>
  <si>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</si>
  <si>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</si>
  <si>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</si>
  <si>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</si>
  <si>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</si>
  <si>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</si>
  <si>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</si>
  <si>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</si>
  <si>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</si>
  <si>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</si>
  <si>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</si>
  <si>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</si>
  <si>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</si>
  <si>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</si>
  <si>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</si>
  <si>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</si>
  <si>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</si>
  <si>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</si>
  <si>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</si>
  <si>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</si>
  <si>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</si>
  <si>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</si>
  <si>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</si>
  <si>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</si>
  <si>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</si>
  <si>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</si>
  <si>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</si>
  <si>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</si>
  <si>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</si>
  <si>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</si>
  <si>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</si>
  <si>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</si>
  <si>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</si>
  <si>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</si>
  <si>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</si>
  <si>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</si>
  <si>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</si>
  <si>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</si>
  <si>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</si>
  <si>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</si>
  <si>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</si>
  <si>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</si>
  <si>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</si>
  <si>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</si>
  <si>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</si>
  <si>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</si>
  <si>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</si>
  <si>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</si>
  <si>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</si>
  <si>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</si>
  <si>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</si>
  <si>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</si>
  <si>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</si>
  <si>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</si>
  <si>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</si>
  <si>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</si>
  <si>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</si>
  <si>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</si>
  <si>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</si>
  <si>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</si>
  <si>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</si>
  <si>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</si>
  <si>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</si>
  <si>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</si>
  <si>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</si>
  <si>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</si>
  <si>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</si>
  <si>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</si>
  <si>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</si>
  <si>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</si>
  <si>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</si>
  <si>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</si>
  <si>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</si>
  <si>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</si>
  <si>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</si>
  <si>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</si>
  <si>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</si>
  <si>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</si>
  <si>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</si>
  <si>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</si>
  <si>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</si>
  <si>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</si>
  <si>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</si>
  <si>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</si>
  <si>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</si>
  <si>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</si>
  <si>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</si>
  <si>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</si>
  <si>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</si>
  <si>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</si>
  <si>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</si>
  <si>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</si>
  <si>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</si>
  <si>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</si>
  <si>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</si>
  <si>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</si>
  <si>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</si>
  <si>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</si>
  <si>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</si>
  <si>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</si>
  <si>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</si>
  <si>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</si>
  <si>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</si>
  <si>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</si>
  <si>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</si>
  <si>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</si>
  <si>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</si>
  <si>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</si>
  <si>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</si>
  <si>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</si>
  <si>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</si>
  <si>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</si>
  <si>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</si>
  <si>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</si>
  <si>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</si>
  <si>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</si>
  <si>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</si>
  <si>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</si>
  <si>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</si>
  <si>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</si>
  <si>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</si>
  <si>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</si>
  <si>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</si>
  <si>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</si>
  <si>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</si>
  <si>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</si>
  <si>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</si>
  <si>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</si>
  <si>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</si>
  <si>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</si>
  <si>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</si>
  <si>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</si>
  <si>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</si>
  <si>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</si>
  <si>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</si>
  <si>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</si>
  <si>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</si>
  <si>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</si>
  <si>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</si>
  <si>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</si>
  <si>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</si>
  <si>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</si>
  <si>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</si>
  <si>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</si>
  <si>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</si>
  <si>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</si>
  <si>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</si>
  <si>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</si>
  <si>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</si>
  <si>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</si>
  <si>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</si>
  <si>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</si>
  <si>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</si>
  <si>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</si>
  <si>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</si>
  <si>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</si>
  <si>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</si>
  <si>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</si>
  <si>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</si>
  <si>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</si>
  <si>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</si>
  <si>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</si>
  <si>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</si>
  <si>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</si>
  <si>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</si>
  <si>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</si>
  <si>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</si>
  <si>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</si>
  <si>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</si>
  <si>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</si>
  <si>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</si>
  <si>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</si>
  <si>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</si>
  <si>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</si>
  <si>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</si>
  <si>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</si>
  <si>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</si>
  <si>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</si>
  <si>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</si>
  <si>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</si>
  <si>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</si>
  <si>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</si>
  <si>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</si>
  <si>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</si>
  <si>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</si>
  <si>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</si>
  <si>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</si>
  <si>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</si>
  <si>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</si>
  <si>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</si>
  <si>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</si>
  <si>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</si>
  <si>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</si>
  <si>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</si>
  <si>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</si>
  <si>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</si>
  <si>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</si>
  <si>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</si>
  <si>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</si>
  <si>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</si>
  <si>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</si>
  <si>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</si>
  <si>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</si>
  <si>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</si>
  <si>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</si>
  <si>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</si>
  <si>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</si>
  <si>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</si>
  <si>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</si>
  <si>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</si>
  <si>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</si>
  <si>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</si>
  <si>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</si>
  <si>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</si>
  <si>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</si>
  <si>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</si>
  <si>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</si>
  <si>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</si>
  <si>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</si>
  <si>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</si>
  <si>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</si>
  <si>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</si>
  <si>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</si>
  <si>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</si>
  <si>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</si>
  <si>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</si>
  <si>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</si>
  <si>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</si>
  <si>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</si>
  <si>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</si>
  <si>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</si>
  <si>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</si>
  <si>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</si>
  <si>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</si>
  <si>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</si>
  <si>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</si>
  <si>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</si>
  <si>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</si>
  <si>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</si>
  <si>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</si>
  <si>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</si>
  <si>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</si>
  <si>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</si>
  <si>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</si>
  <si>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</si>
  <si>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</si>
  <si>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</si>
  <si>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</si>
  <si>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</si>
  <si>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</si>
  <si>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</si>
  <si>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</si>
  <si>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</si>
  <si>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</si>
  <si>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</si>
  <si>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</si>
  <si>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</si>
  <si>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</si>
  <si>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</si>
  <si>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</si>
  <si>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</si>
  <si>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</si>
  <si>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</si>
  <si>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</si>
  <si>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</si>
  <si>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</si>
  <si>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</si>
  <si>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</si>
  <si>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</si>
  <si>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</si>
  <si>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</si>
  <si>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</si>
  <si>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</si>
  <si>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</si>
  <si>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</si>
  <si>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</si>
  <si>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</si>
  <si>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</si>
  <si>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</si>
  <si>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</si>
  <si>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</si>
  <si>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</si>
  <si>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</si>
  <si>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</si>
  <si>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</si>
  <si>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</si>
  <si>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</si>
  <si>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</si>
  <si>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</si>
  <si>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</si>
  <si>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</si>
  <si>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</si>
  <si>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</si>
  <si>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</si>
  <si>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</si>
  <si>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</si>
  <si>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</si>
  <si>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</si>
  <si>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</si>
  <si>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</si>
  <si>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</si>
  <si>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</si>
  <si>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</si>
  <si>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</si>
  <si>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</si>
  <si>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</si>
  <si>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</si>
  <si>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</si>
  <si>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</si>
  <si>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</si>
  <si>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</si>
  <si>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</si>
  <si>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</si>
  <si>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</si>
  <si>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</si>
  <si>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</si>
  <si>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</si>
  <si>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</si>
  <si>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</si>
  <si>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</si>
  <si>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</si>
  <si>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</si>
  <si>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</si>
  <si>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</si>
  <si>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</si>
  <si>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</si>
  <si>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</si>
  <si>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</si>
  <si>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</si>
  <si>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</si>
  <si>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</si>
  <si>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</si>
  <si>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</si>
  <si>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</si>
  <si>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</si>
  <si>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</si>
  <si>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</si>
  <si>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</si>
  <si>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</si>
  <si>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</si>
  <si>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</si>
  <si>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</si>
  <si>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</si>
  <si>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</si>
  <si>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</si>
  <si>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</si>
  <si>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</si>
  <si>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</si>
  <si>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</si>
  <si>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</si>
  <si>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</si>
  <si>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</si>
  <si>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</si>
  <si>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</si>
  <si>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</si>
  <si>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</si>
  <si>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</si>
  <si>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</si>
  <si>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</si>
  <si>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</si>
  <si>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</si>
  <si>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</si>
  <si>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</si>
  <si>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</si>
  <si>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</si>
  <si>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</si>
  <si>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</si>
  <si>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</si>
  <si>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</si>
  <si>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</si>
  <si>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</si>
  <si>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</si>
  <si>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</si>
  <si>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</si>
  <si>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</si>
  <si>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</si>
  <si>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</si>
  <si>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</si>
  <si>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</si>
  <si>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</si>
  <si>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</si>
  <si>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</si>
  <si>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</si>
  <si>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</si>
  <si>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</si>
  <si>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</si>
  <si>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</si>
  <si>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</si>
  <si>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</si>
  <si>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</si>
  <si>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</si>
  <si>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</si>
  <si>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</si>
  <si>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</si>
  <si>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</si>
  <si>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</si>
  <si>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</si>
  <si>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</si>
  <si>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</si>
  <si>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</si>
  <si>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</si>
  <si>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</si>
  <si>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</si>
  <si>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</si>
  <si>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</si>
  <si>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</si>
  <si>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</si>
  <si>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</si>
  <si>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</si>
  <si>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</si>
  <si>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</si>
  <si>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</si>
  <si>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</si>
  <si>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</si>
  <si>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</si>
  <si>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</si>
  <si>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</si>
  <si>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</si>
  <si>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</si>
  <si>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</si>
  <si>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</si>
  <si>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</si>
  <si>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</si>
  <si>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</si>
  <si>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</si>
  <si>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</si>
  <si>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</si>
  <si>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</si>
  <si>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</si>
  <si>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</si>
  <si>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</si>
  <si>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</si>
  <si>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</si>
  <si>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</si>
  <si>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</si>
  <si>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</si>
  <si>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</si>
  <si>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</si>
  <si>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</si>
  <si>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</si>
  <si>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</si>
  <si>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</si>
  <si>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</si>
  <si>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</si>
  <si>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</si>
  <si>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</si>
  <si>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</si>
  <si>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</si>
  <si>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</si>
  <si>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</si>
  <si>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</si>
  <si>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</si>
  <si>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</si>
  <si>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</si>
  <si>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</si>
  <si>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</si>
  <si>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</si>
  <si>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</si>
  <si>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</si>
  <si>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</si>
  <si>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</si>
  <si>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</si>
  <si>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</si>
  <si>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</si>
  <si>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</si>
  <si>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</si>
  <si>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</si>
  <si>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</si>
  <si>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</si>
  <si>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</si>
  <si>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</si>
  <si>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</si>
  <si>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</si>
  <si>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</si>
  <si>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</si>
  <si>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</si>
  <si>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</si>
  <si>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</si>
  <si>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</si>
  <si>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</si>
  <si>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</si>
  <si>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</si>
  <si>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</si>
  <si>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</si>
  <si>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</si>
  <si>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</si>
  <si>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</si>
  <si>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</si>
  <si>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</si>
  <si>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</si>
  <si>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</si>
  <si>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</si>
  <si>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</si>
  <si>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</si>
  <si>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</si>
  <si>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</si>
  <si>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</si>
  <si>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</si>
  <si>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</si>
  <si>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</si>
  <si>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</si>
  <si>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</si>
  <si>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</si>
  <si>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</si>
  <si>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</si>
  <si>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</si>
  <si>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</si>
  <si>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</si>
  <si>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</si>
  <si>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</si>
  <si>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</si>
  <si>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</si>
  <si>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</si>
  <si>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</si>
  <si>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</si>
  <si>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</si>
  <si>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</si>
  <si>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</si>
  <si>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</si>
  <si>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</si>
  <si>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</si>
  <si>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</si>
  <si>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</si>
  <si>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</si>
  <si>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</si>
  <si>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</si>
  <si>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</si>
  <si>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</si>
  <si>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</si>
  <si>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</si>
  <si>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</si>
  <si>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</si>
  <si>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</si>
  <si>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</si>
  <si>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</si>
  <si>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</si>
  <si>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</si>
  <si>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</si>
  <si>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</si>
  <si>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</si>
  <si>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</si>
  <si>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</si>
  <si>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</si>
  <si>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</si>
  <si>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</si>
  <si>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</si>
  <si>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</si>
  <si>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</si>
  <si>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</si>
  <si>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</si>
  <si>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</si>
  <si>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</si>
  <si>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</si>
  <si>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</si>
  <si>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</si>
  <si>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</si>
  <si>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</si>
  <si>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</si>
  <si>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</si>
  <si>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</si>
  <si>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</si>
  <si>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</si>
  <si>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</si>
  <si>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</si>
  <si>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</si>
  <si>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</si>
  <si>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</si>
  <si>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</si>
  <si>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</si>
  <si>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</si>
  <si>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</si>
  <si>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</si>
  <si>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</si>
  <si>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</si>
  <si>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</si>
  <si>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</si>
  <si>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</si>
  <si>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</si>
  <si>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</si>
  <si>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</si>
  <si>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</si>
  <si>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</si>
  <si>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</si>
  <si>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</si>
  <si>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</si>
  <si>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</si>
  <si>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</si>
  <si>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</si>
  <si>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</si>
  <si>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</si>
  <si>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</si>
  <si>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</si>
  <si>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</si>
  <si>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</si>
  <si>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</si>
  <si>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</si>
  <si>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</si>
  <si>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</si>
  <si>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</si>
  <si>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</si>
  <si>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</si>
  <si>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</si>
  <si>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</si>
  <si>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</si>
  <si>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</si>
  <si>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</si>
  <si>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</si>
  <si>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</si>
  <si>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</si>
  <si>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</si>
  <si>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</si>
  <si>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</si>
  <si>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</si>
  <si>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</si>
  <si>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</si>
  <si>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</si>
  <si>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</si>
  <si>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</si>
  <si>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</si>
  <si>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</si>
  <si>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</si>
  <si>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</si>
  <si>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</si>
  <si>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</si>
  <si>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</si>
  <si>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</si>
  <si>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</si>
  <si>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</si>
  <si>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</si>
  <si>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</si>
  <si>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</si>
  <si>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</si>
  <si>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</si>
  <si>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</si>
  <si>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</si>
  <si>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</si>
  <si>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</si>
  <si>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</si>
  <si>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</si>
  <si>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</si>
  <si>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</si>
  <si>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</si>
  <si>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</si>
  <si>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</si>
  <si>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</si>
  <si>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</si>
  <si>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</si>
  <si>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</si>
  <si>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</si>
  <si>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</si>
  <si>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</si>
  <si>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</si>
  <si>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</si>
  <si>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</si>
  <si>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</si>
  <si>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</si>
  <si>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</si>
  <si>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</si>
  <si>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</si>
  <si>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</si>
  <si>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</si>
  <si>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</si>
  <si>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</si>
  <si>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</si>
  <si>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</si>
  <si>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</si>
  <si>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</si>
  <si>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</si>
  <si>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</si>
  <si>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</si>
  <si>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</si>
  <si>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</si>
  <si>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</si>
  <si>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</si>
  <si>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</si>
  <si>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</si>
  <si>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</si>
  <si>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</si>
  <si>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</si>
  <si>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</si>
  <si>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</si>
  <si>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</si>
  <si>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</si>
  <si>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</si>
  <si>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</si>
  <si>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</si>
  <si>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</si>
  <si>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</si>
  <si>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</si>
  <si>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</si>
  <si>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</si>
  <si>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</si>
  <si>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</si>
  <si>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</si>
  <si>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</si>
  <si>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</si>
  <si>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</si>
  <si>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</si>
  <si>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</si>
  <si>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</si>
  <si>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</si>
  <si>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</si>
  <si>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</si>
  <si>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</si>
  <si>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</si>
  <si>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</si>
  <si>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</si>
  <si>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</si>
  <si>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</si>
  <si>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</si>
  <si>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</si>
  <si>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</si>
  <si>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</si>
  <si>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</si>
  <si>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</si>
  <si>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</si>
  <si>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</si>
  <si>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</si>
  <si>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</si>
  <si>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</si>
  <si>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</si>
  <si>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</si>
  <si>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</si>
  <si>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</si>
  <si>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</si>
  <si>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</si>
  <si>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</si>
  <si>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</si>
  <si>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</si>
  <si>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</si>
  <si>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</si>
  <si>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</si>
  <si>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</si>
  <si>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</si>
  <si>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</si>
  <si>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</si>
  <si>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</si>
  <si>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</si>
  <si>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</si>
  <si>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</si>
  <si>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</si>
  <si>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</si>
  <si>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</si>
  <si>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</si>
  <si>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</si>
  <si>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</si>
  <si>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</si>
  <si>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</si>
  <si>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</si>
  <si>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</si>
  <si>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</si>
  <si>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</si>
  <si>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</si>
  <si>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</si>
  <si>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</si>
  <si>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</si>
  <si>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</si>
  <si>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</si>
  <si>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</si>
  <si>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</si>
  <si>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</si>
  <si>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</si>
  <si>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</si>
  <si>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</si>
  <si>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</si>
  <si>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</si>
  <si>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</si>
  <si>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</si>
  <si>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</si>
  <si>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</si>
  <si>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</si>
  <si>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</si>
  <si>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</si>
  <si>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</si>
  <si>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</si>
  <si>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</si>
  <si>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</si>
  <si>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</si>
  <si>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</si>
  <si>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</si>
  <si>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</si>
  <si>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</si>
  <si>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</si>
  <si>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</si>
  <si>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</si>
  <si>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</si>
  <si>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</si>
  <si>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</si>
  <si>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</si>
  <si>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</si>
  <si>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</si>
  <si>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</si>
  <si>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</si>
  <si>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</si>
  <si>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</si>
  <si>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</si>
  <si>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</si>
  <si>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</si>
  <si>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</si>
  <si>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</si>
  <si>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</si>
  <si>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</si>
  <si>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</si>
  <si>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</si>
  <si>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</si>
  <si>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</si>
  <si>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</si>
  <si>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</si>
  <si>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</si>
  <si>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</si>
  <si>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</si>
  <si>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</si>
  <si>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</si>
  <si>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</si>
  <si>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</si>
  <si>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</si>
  <si>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</si>
  <si>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</si>
  <si>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</si>
  <si>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</si>
  <si>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</si>
  <si>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</si>
  <si>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</si>
  <si>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</si>
  <si>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</si>
  <si>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</si>
  <si>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</si>
  <si>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</si>
  <si>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</si>
  <si>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</si>
  <si>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</si>
  <si>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</si>
  <si>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</si>
  <si>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</si>
  <si>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</si>
  <si>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</si>
  <si>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</si>
  <si>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</si>
  <si>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</si>
  <si>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</si>
  <si>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</si>
  <si>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</si>
  <si>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</si>
  <si>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</si>
  <si>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</si>
  <si>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</si>
  <si>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</si>
  <si>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</si>
  <si>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</si>
  <si>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</si>
  <si>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</si>
  <si>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</si>
  <si>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</si>
  <si>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</si>
  <si>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</si>
  <si>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</si>
  <si>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</si>
  <si>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</si>
  <si>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</si>
  <si>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</si>
  <si>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</si>
  <si>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</si>
  <si>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</si>
  <si>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</si>
  <si>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</si>
  <si>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</si>
  <si>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</si>
  <si>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</si>
  <si>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</si>
  <si>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</si>
  <si>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</si>
  <si>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</si>
  <si>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</si>
  <si>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</si>
  <si>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</si>
  <si>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</si>
  <si>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</si>
  <si>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</si>
  <si>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</si>
  <si>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</si>
  <si>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</si>
  <si>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</si>
  <si>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</si>
  <si>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</si>
  <si>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</si>
  <si>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</si>
  <si>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</si>
  <si>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</si>
  <si>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</si>
  <si>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</si>
  <si>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</si>
  <si>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</si>
  <si>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</si>
  <si>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</si>
  <si>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</si>
  <si>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</si>
  <si>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</si>
  <si>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</si>
  <si>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</si>
  <si>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</si>
  <si>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</si>
  <si>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</si>
  <si>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</si>
  <si>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</si>
  <si>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</si>
  <si>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</si>
  <si>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</si>
  <si>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</si>
  <si>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</si>
  <si>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</si>
  <si>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</si>
  <si>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</si>
  <si>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</si>
  <si>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</si>
  <si>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</si>
  <si>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</si>
  <si>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</si>
  <si>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</si>
  <si>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</si>
  <si>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</si>
  <si>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</si>
  <si>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</si>
  <si>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</si>
  <si>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</si>
  <si>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</si>
  <si>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</si>
  <si>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</si>
  <si>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</si>
  <si>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</si>
  <si>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</si>
  <si>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</si>
  <si>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</si>
  <si>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</si>
  <si>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</si>
  <si>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</si>
  <si>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</si>
  <si>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</si>
  <si>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</si>
  <si>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</si>
  <si>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</si>
  <si>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</si>
  <si>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</si>
  <si>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</si>
  <si>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</si>
  <si>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</si>
  <si>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</si>
  <si>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</si>
  <si>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</si>
  <si>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</si>
  <si>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</si>
  <si>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</si>
  <si>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</si>
  <si>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</si>
  <si>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</si>
  <si>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</si>
  <si>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</si>
  <si>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</si>
  <si>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</si>
  <si>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</si>
  <si>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</si>
  <si>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</si>
  <si>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</si>
  <si>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</si>
  <si>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</si>
  <si>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</si>
  <si>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</si>
  <si>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</si>
  <si>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</si>
  <si>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</si>
  <si>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</si>
  <si>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</si>
  <si>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</si>
  <si>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</si>
  <si>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</si>
  <si>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</si>
  <si>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</si>
  <si>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</si>
  <si>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</si>
  <si>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</si>
  <si>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</si>
  <si>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</si>
  <si>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</si>
  <si>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</si>
  <si>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</si>
  <si>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</si>
  <si>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</si>
  <si>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</si>
  <si>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</si>
  <si>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</si>
  <si>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</si>
  <si>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</si>
  <si>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</si>
  <si>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</si>
  <si>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</si>
  <si>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</si>
  <si>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</si>
  <si>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</si>
  <si>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</si>
  <si>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</si>
  <si>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</si>
  <si>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</si>
  <si>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</si>
  <si>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</si>
  <si>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</si>
  <si>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</si>
  <si>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</si>
  <si>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</si>
  <si>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</si>
  <si>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</si>
  <si>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</si>
  <si>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</si>
  <si>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</si>
  <si>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</si>
  <si>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</si>
  <si>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</si>
  <si>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</si>
  <si>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</si>
  <si>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</si>
  <si>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</si>
  <si>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</si>
  <si>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</si>
  <si>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</si>
  <si>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</si>
  <si>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</si>
  <si>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</si>
  <si>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</si>
  <si>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</si>
  <si>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</si>
  <si>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</si>
  <si>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</si>
  <si>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</si>
  <si>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</si>
  <si>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</si>
  <si>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</si>
  <si>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</si>
  <si>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</si>
  <si>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</si>
  <si>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</si>
  <si>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</si>
  <si>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</si>
  <si>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</si>
  <si>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</si>
  <si>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</si>
  <si>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</si>
  <si>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</si>
  <si>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</si>
  <si>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</si>
  <si>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</si>
  <si>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</si>
  <si>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</si>
  <si>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</si>
  <si>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</si>
  <si>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</si>
  <si>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</si>
  <si>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</si>
  <si>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</si>
  <si>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</si>
  <si>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</si>
  <si>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</si>
  <si>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</si>
  <si>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</si>
  <si>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</si>
  <si>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</si>
  <si>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</si>
  <si>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</si>
  <si>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</si>
  <si>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</si>
  <si>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</si>
  <si>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</si>
  <si>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</si>
  <si>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</si>
  <si>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</si>
  <si>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</si>
  <si>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</si>
  <si>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</si>
  <si>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</si>
  <si>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</si>
  <si>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</si>
  <si>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</si>
  <si>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</si>
  <si>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</si>
  <si>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</si>
  <si>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</si>
  <si>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</si>
  <si>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</si>
  <si>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</si>
  <si>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</si>
  <si>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</si>
  <si>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</si>
  <si>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</si>
  <si>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</si>
  <si>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</si>
  <si>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</si>
  <si>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</si>
  <si>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</si>
  <si>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</si>
  <si>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</si>
  <si>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</si>
  <si>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</si>
  <si>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</si>
  <si>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</si>
  <si>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</si>
  <si>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</si>
  <si>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</si>
  <si>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</si>
  <si>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</si>
  <si>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</si>
  <si>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</si>
  <si>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</si>
  <si>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</si>
  <si>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</si>
  <si>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</si>
  <si>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</si>
  <si>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</si>
  <si>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</si>
  <si>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</si>
  <si>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</si>
  <si>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</si>
  <si>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</si>
  <si>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</si>
  <si>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</si>
  <si>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</si>
  <si>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</si>
  <si>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</si>
  <si>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</si>
  <si>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</si>
  <si>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</si>
  <si>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</si>
  <si>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</si>
  <si>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</si>
  <si>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</si>
  <si>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</si>
  <si>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</si>
  <si>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</si>
  <si>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</si>
  <si>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</si>
  <si>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</si>
  <si>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</si>
  <si>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</si>
  <si>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</si>
  <si>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</si>
  <si>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</si>
  <si>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</si>
  <si>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</si>
  <si>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</si>
  <si>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</si>
  <si>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</si>
  <si>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</si>
  <si>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</si>
  <si>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</si>
  <si>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</si>
  <si>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</si>
  <si>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</si>
  <si>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</si>
  <si>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</si>
  <si>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</si>
  <si>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</si>
  <si>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</si>
  <si>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</si>
  <si>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</si>
  <si>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</si>
  <si>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</si>
  <si>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</si>
  <si>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</si>
  <si>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</si>
  <si>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</si>
  <si>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</si>
  <si>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</si>
  <si>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</si>
  <si>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</si>
  <si>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</si>
  <si>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</si>
  <si>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</si>
  <si>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</si>
  <si>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</si>
  <si>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</si>
  <si>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</si>
  <si>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</si>
  <si>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</si>
  <si>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</si>
  <si>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</si>
  <si>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</si>
  <si>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</si>
  <si>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</si>
  <si>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</si>
  <si>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</si>
  <si>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</si>
  <si>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</si>
  <si>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</si>
  <si>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</si>
  <si>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</si>
  <si>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</si>
  <si>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</si>
  <si>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</si>
  <si>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</si>
  <si>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</si>
  <si>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</si>
  <si>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</si>
  <si>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</si>
  <si>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</si>
  <si>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</si>
  <si>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</si>
  <si>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</si>
  <si>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</si>
  <si>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</si>
  <si>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</si>
  <si>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</si>
  <si>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</si>
  <si>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</si>
  <si>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</si>
  <si>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</si>
  <si>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</si>
  <si>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</si>
  <si>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</si>
  <si>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</si>
  <si>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</si>
  <si>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</si>
  <si>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</si>
  <si>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</si>
  <si>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</si>
  <si>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</si>
  <si>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</si>
  <si>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</si>
  <si>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</si>
  <si>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</si>
  <si>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</si>
  <si>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</si>
  <si>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</si>
  <si>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</si>
  <si>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</si>
  <si>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</si>
  <si>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</si>
  <si>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</si>
  <si>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</si>
  <si>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</si>
  <si>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</si>
  <si>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</si>
  <si>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</si>
  <si>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</si>
  <si>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</si>
  <si>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</si>
  <si>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</si>
  <si>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</si>
  <si>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</si>
  <si>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</si>
  <si>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</si>
  <si>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</si>
  <si>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</si>
  <si>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</si>
  <si>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</si>
  <si>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</si>
  <si>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</si>
  <si>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</si>
  <si>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</si>
  <si>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</si>
  <si>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</si>
  <si>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</si>
  <si>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</si>
  <si>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</si>
  <si>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</si>
  <si>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</si>
  <si>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</si>
  <si>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</si>
  <si>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</si>
  <si>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</si>
  <si>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</si>
  <si>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</si>
  <si>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</si>
  <si>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</si>
  <si>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</si>
  <si>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</si>
  <si>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</si>
  <si>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</si>
  <si>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</si>
  <si>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</si>
  <si>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</si>
  <si>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</si>
  <si>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</si>
  <si>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</si>
  <si>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</si>
  <si>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</si>
  <si>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</si>
  <si>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</si>
  <si>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</si>
  <si>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</si>
  <si>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</si>
  <si>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</si>
  <si>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</si>
  <si>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</si>
  <si>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</si>
  <si>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</si>
  <si>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</si>
  <si>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</si>
  <si>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</si>
  <si>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</si>
  <si>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</si>
  <si>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</si>
  <si>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</si>
  <si>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</si>
  <si>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</si>
  <si>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</si>
  <si>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</si>
  <si>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</si>
  <si>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</si>
  <si>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</si>
  <si>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</si>
  <si>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</si>
  <si>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</si>
  <si>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</si>
  <si>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</si>
  <si>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</si>
  <si>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</si>
  <si>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</si>
  <si>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</si>
  <si>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</si>
  <si>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</si>
  <si>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</si>
  <si>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</si>
  <si>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</si>
  <si>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</si>
  <si>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</si>
  <si>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</si>
  <si>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</si>
  <si>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</si>
  <si>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</si>
  <si>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</si>
  <si>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</si>
  <si>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</si>
  <si>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</si>
  <si>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</si>
  <si>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</si>
  <si>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</si>
  <si>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</si>
  <si>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</si>
  <si>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</si>
  <si>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</si>
  <si>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</si>
  <si>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</si>
  <si>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</si>
  <si>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</si>
  <si>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</si>
  <si>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</si>
  <si>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</si>
  <si>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</si>
  <si>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</si>
  <si>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</si>
  <si>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</si>
  <si>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</si>
  <si>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</si>
  <si>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</si>
  <si>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</si>
  <si>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</si>
  <si>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</si>
  <si>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</si>
  <si>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</si>
  <si>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</si>
  <si>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</si>
  <si>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</si>
  <si>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</si>
  <si>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</si>
  <si>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</si>
  <si>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</si>
  <si>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</si>
  <si>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</si>
  <si>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</si>
  <si>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</si>
  <si>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</si>
  <si>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</si>
  <si>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</si>
  <si>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</si>
  <si>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</si>
  <si>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</si>
  <si>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</si>
  <si>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</si>
  <si>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</si>
  <si>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</si>
  <si>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</si>
  <si>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</si>
  <si>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</si>
  <si>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</si>
  <si>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</si>
  <si>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</si>
  <si>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</si>
  <si>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</si>
  <si>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</si>
  <si>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</si>
  <si>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</si>
  <si>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</si>
  <si>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</si>
  <si>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</si>
  <si>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</si>
  <si>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</si>
  <si>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</si>
  <si>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</si>
  <si>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</si>
  <si>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</si>
  <si>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</si>
  <si>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</si>
  <si>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</si>
  <si>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</si>
  <si>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</si>
  <si>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</si>
  <si>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</si>
  <si>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</si>
  <si>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</si>
  <si>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</si>
  <si>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</si>
  <si>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</si>
  <si>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</si>
  <si>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</si>
  <si>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</si>
  <si>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</si>
  <si>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</si>
  <si>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</si>
  <si>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</si>
  <si>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</si>
  <si>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</si>
  <si>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</si>
  <si>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</si>
  <si>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</si>
  <si>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</si>
  <si>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</si>
  <si>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</si>
  <si>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</si>
  <si>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</si>
  <si>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</si>
  <si>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</si>
  <si>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</si>
  <si>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</si>
  <si>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</si>
  <si>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</si>
  <si>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</si>
  <si>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</si>
  <si>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</si>
  <si>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</si>
  <si>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</si>
  <si>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</si>
  <si>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</si>
  <si>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</si>
  <si>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</si>
  <si>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</si>
  <si>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</si>
  <si>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</si>
  <si>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</si>
  <si>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</si>
  <si>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</si>
  <si>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</si>
  <si>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</si>
  <si>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</si>
  <si>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</si>
  <si>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</si>
  <si>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</si>
  <si>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</si>
  <si>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</si>
  <si>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</si>
  <si>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</si>
  <si>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</si>
  <si>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</si>
  <si>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</si>
  <si>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</si>
  <si>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</si>
  <si>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</si>
  <si>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</si>
  <si>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</si>
  <si>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</si>
  <si>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</si>
  <si>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</si>
  <si>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</si>
  <si>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</si>
  <si>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</si>
  <si>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</si>
  <si>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</si>
  <si>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</si>
  <si>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</si>
  <si>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</si>
  <si>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</si>
  <si>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</si>
  <si>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</si>
  <si>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</si>
  <si>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</si>
  <si>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</si>
  <si>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</si>
  <si>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</si>
  <si>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</si>
  <si>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</si>
  <si>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</si>
  <si>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</si>
  <si>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</si>
  <si>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</si>
  <si>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</si>
  <si>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</si>
  <si>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</si>
  <si>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</si>
  <si>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</si>
  <si>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</si>
  <si>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</si>
  <si>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</si>
  <si>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</si>
  <si>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</si>
  <si>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</si>
  <si>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</si>
  <si>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</si>
  <si>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</si>
  <si>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</si>
  <si>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</si>
  <si>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</si>
  <si>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</si>
  <si>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</si>
  <si>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</si>
  <si>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</si>
  <si>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</si>
  <si>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</si>
  <si>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</si>
  <si>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</si>
  <si>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</si>
  <si>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</si>
  <si>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</si>
  <si>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</si>
  <si>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</si>
  <si>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</si>
  <si>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</si>
  <si>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</si>
  <si>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</si>
  <si>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</si>
  <si>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</si>
  <si>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</si>
  <si>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</si>
  <si>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</si>
  <si>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</si>
  <si>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</si>
  <si>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</si>
  <si>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</si>
  <si>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</si>
  <si>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</si>
  <si>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</si>
  <si>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</si>
  <si>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</si>
  <si>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</si>
  <si>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</si>
  <si>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</si>
  <si>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</si>
  <si>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</si>
  <si>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</si>
  <si>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</si>
  <si>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</si>
  <si>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</si>
  <si>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</si>
  <si>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</si>
  <si>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</si>
  <si>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</si>
  <si>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</si>
  <si>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</si>
  <si>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</si>
  <si>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</si>
  <si>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</si>
  <si>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</si>
  <si>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</si>
  <si>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</si>
  <si>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</si>
  <si>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</si>
  <si>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</si>
  <si>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</si>
  <si>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</si>
  <si>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</si>
  <si>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</si>
  <si>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</si>
  <si>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</si>
  <si>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</si>
  <si>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</si>
  <si>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</si>
  <si>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</si>
  <si>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</si>
  <si>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</si>
  <si>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</si>
  <si>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</si>
  <si>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</si>
  <si>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</si>
  <si>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</si>
  <si>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</si>
  <si>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</si>
  <si>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</si>
  <si>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</si>
  <si>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</si>
  <si>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</si>
  <si>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</si>
  <si>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</si>
  <si>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</si>
  <si>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</si>
  <si>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</si>
  <si>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</si>
  <si>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</si>
  <si>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</si>
  <si>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</si>
  <si>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</si>
  <si>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</si>
  <si>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</si>
  <si>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</si>
  <si>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</si>
  <si>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</si>
  <si>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</si>
  <si>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</si>
  <si>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</si>
  <si>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</si>
  <si>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</si>
  <si>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</si>
  <si>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</si>
  <si>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</si>
  <si>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</si>
  <si>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</si>
  <si>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</si>
  <si>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</si>
  <si>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</si>
  <si>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</si>
  <si>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</si>
  <si>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</si>
  <si>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</si>
  <si>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</si>
  <si>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</si>
  <si>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</si>
  <si>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</si>
  <si>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</si>
  <si>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</si>
  <si>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</si>
  <si>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</si>
  <si>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</si>
  <si>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</si>
  <si>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</si>
  <si>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</si>
  <si>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</si>
  <si>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</si>
  <si>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</si>
  <si>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</si>
  <si>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</si>
  <si>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</si>
  <si>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</si>
  <si>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</si>
  <si>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</si>
  <si>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</si>
  <si>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</si>
  <si>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</si>
  <si>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</si>
  <si>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</si>
  <si>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</si>
  <si>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</si>
  <si>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</si>
  <si>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</si>
  <si>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</si>
  <si>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</si>
  <si>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</si>
  <si>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</si>
  <si>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</si>
  <si>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</si>
  <si>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</si>
  <si>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</si>
  <si>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</si>
  <si>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</si>
  <si>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</si>
  <si>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</si>
  <si>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</si>
  <si>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</si>
  <si>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</si>
  <si>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</si>
  <si>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</si>
  <si>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</si>
  <si>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</si>
  <si>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</si>
  <si>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</si>
  <si>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</si>
  <si>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</si>
  <si>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</si>
  <si>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</si>
  <si>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</si>
  <si>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</si>
  <si>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</si>
  <si>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</si>
  <si>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</si>
  <si>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</si>
  <si>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</si>
  <si>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</si>
  <si>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</si>
  <si>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</si>
  <si>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</si>
  <si>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</si>
  <si>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</si>
  <si>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</si>
  <si>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</si>
  <si>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</si>
  <si>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</si>
  <si>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</si>
  <si>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</si>
  <si>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</si>
  <si>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</si>
  <si>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</si>
  <si>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</si>
  <si>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</si>
  <si>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</si>
  <si>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</si>
  <si>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</si>
  <si>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</si>
  <si>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</si>
  <si>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</si>
  <si>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</si>
  <si>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</si>
  <si>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</si>
  <si>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</si>
  <si>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</si>
  <si>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</si>
  <si>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</si>
  <si>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</si>
  <si>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</si>
  <si>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</si>
  <si>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</si>
  <si>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</si>
  <si>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</si>
  <si>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</si>
  <si>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</si>
  <si>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</si>
  <si>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</si>
  <si>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</si>
  <si>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</si>
  <si>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</si>
  <si>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</si>
  <si>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</si>
  <si>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</si>
  <si>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</si>
  <si>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</si>
  <si>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</si>
  <si>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</si>
  <si>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</si>
  <si>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</si>
  <si>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</si>
  <si>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</si>
  <si>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</si>
  <si>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</si>
  <si>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</si>
  <si>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</si>
  <si>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</si>
  <si>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</si>
  <si>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</si>
  <si>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</si>
  <si>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</si>
  <si>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</si>
  <si>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</si>
  <si>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</si>
  <si>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</si>
  <si>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</si>
  <si>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</si>
  <si>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</si>
  <si>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</si>
  <si>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</si>
  <si>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</si>
  <si>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</si>
  <si>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</si>
  <si>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</si>
  <si>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</si>
  <si>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</si>
  <si>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</si>
  <si>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</si>
  <si>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</si>
  <si>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</si>
  <si>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</si>
  <si>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</si>
  <si>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</si>
  <si>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</si>
  <si>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</si>
  <si>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</si>
  <si>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</si>
  <si>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</si>
  <si>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</si>
  <si>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</si>
  <si>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</si>
  <si>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</si>
  <si>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</si>
  <si>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</si>
  <si>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</si>
  <si>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</si>
  <si>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</si>
  <si>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</si>
  <si>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</si>
  <si>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</si>
  <si>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</si>
  <si>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</si>
  <si>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</si>
  <si>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</si>
  <si>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</si>
  <si>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</si>
  <si>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</si>
  <si>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</si>
  <si>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</si>
  <si>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</si>
  <si>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</si>
  <si>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</si>
  <si>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</si>
  <si>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</si>
  <si>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</si>
  <si>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</si>
  <si>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</si>
  <si>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</si>
  <si>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</si>
  <si>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</si>
  <si>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</si>
  <si>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</si>
  <si>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</si>
  <si>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</si>
  <si>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</si>
  <si>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</si>
  <si>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</si>
  <si>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</si>
  <si>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</si>
  <si>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</si>
  <si>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</si>
  <si>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</si>
  <si>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</si>
  <si>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</si>
  <si>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</si>
  <si>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</si>
  <si>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</si>
  <si>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</si>
  <si>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</si>
  <si>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</si>
  <si>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</si>
  <si>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</si>
  <si>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</si>
  <si>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</si>
  <si>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</si>
  <si>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</si>
  <si>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</si>
  <si>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</si>
  <si>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</si>
  <si>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</si>
  <si>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</si>
  <si>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</si>
  <si>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</si>
  <si>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</si>
  <si>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</si>
  <si>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</si>
  <si>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</si>
  <si>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</si>
  <si>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</si>
  <si>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</si>
  <si>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</si>
  <si>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</si>
  <si>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</si>
  <si>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</si>
  <si>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</si>
  <si>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</si>
  <si>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</si>
  <si>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</si>
  <si>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</si>
  <si>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</si>
  <si>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</si>
  <si>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</si>
  <si>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</si>
  <si>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</si>
  <si>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</si>
  <si>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</si>
  <si>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</si>
  <si>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</si>
  <si>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</si>
  <si>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</si>
  <si>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</si>
  <si>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</si>
  <si>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</si>
  <si>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</si>
  <si>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</si>
  <si>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</si>
  <si>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</si>
  <si>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</si>
  <si>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</si>
  <si>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</si>
  <si>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</si>
  <si>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</si>
  <si>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</si>
  <si>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</si>
  <si>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</si>
  <si>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</si>
  <si>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</si>
  <si>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</si>
  <si>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</si>
  <si>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</si>
  <si>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</si>
  <si>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</si>
  <si>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</si>
  <si>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</si>
  <si>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</si>
  <si>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</si>
  <si>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</si>
  <si>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</si>
  <si>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</si>
  <si>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</si>
  <si>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</si>
  <si>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</si>
  <si>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</si>
  <si>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</si>
  <si>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</si>
  <si>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</si>
  <si>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</si>
  <si>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</si>
  <si>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</si>
  <si>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</si>
  <si>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</si>
  <si>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</si>
  <si>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</si>
  <si>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</si>
  <si>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</si>
  <si>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</si>
  <si>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</si>
  <si>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</si>
  <si>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</si>
  <si>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</si>
  <si>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</si>
  <si>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</si>
  <si>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</si>
  <si>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</si>
  <si>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</si>
  <si>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</si>
  <si>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</si>
  <si>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</si>
  <si>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</si>
  <si>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</si>
  <si>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</si>
  <si>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</si>
  <si>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</si>
  <si>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</si>
  <si>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</si>
  <si>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</si>
  <si>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</si>
  <si>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</si>
  <si>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</si>
  <si>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</si>
  <si>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</si>
  <si>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</si>
  <si>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</si>
  <si>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</si>
  <si>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</si>
  <si>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</si>
  <si>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</si>
  <si>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</si>
  <si>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</si>
  <si>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</si>
  <si>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</si>
  <si>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</si>
  <si>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</si>
  <si>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</si>
  <si>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</si>
  <si>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</si>
  <si>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</si>
  <si>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</si>
  <si>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</si>
  <si>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</si>
  <si>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</si>
  <si>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</si>
  <si>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</si>
  <si>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</si>
  <si>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</si>
  <si>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</si>
  <si>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</si>
  <si>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</si>
  <si>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</si>
  <si>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</si>
  <si>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</si>
  <si>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</si>
  <si>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</si>
  <si>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</si>
  <si>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</si>
  <si>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</si>
  <si>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</si>
  <si>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</si>
  <si>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</si>
  <si>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</si>
  <si>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</si>
  <si>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</si>
  <si>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</si>
  <si>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</si>
  <si>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</si>
  <si>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</si>
  <si>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</si>
  <si>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</si>
  <si>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</si>
  <si>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</si>
  <si>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</si>
  <si>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</si>
  <si>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</si>
  <si>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</si>
  <si>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</si>
  <si>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</si>
  <si>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</si>
  <si>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</si>
  <si>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</si>
  <si>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</si>
  <si>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</si>
  <si>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</si>
  <si>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</si>
  <si>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</si>
  <si>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</si>
  <si>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</si>
  <si>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</si>
  <si>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</si>
  <si>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</si>
  <si>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</si>
  <si>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</si>
  <si>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</si>
  <si>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</si>
  <si>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</si>
  <si>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</si>
  <si>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</si>
  <si>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</si>
  <si>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</si>
  <si>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</si>
  <si>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</si>
  <si>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</si>
  <si>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</si>
  <si>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</si>
  <si>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</si>
  <si>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</si>
  <si>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</si>
  <si>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</si>
  <si>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</si>
  <si>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</si>
  <si>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</si>
  <si>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</si>
  <si>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</si>
  <si>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</si>
  <si>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</si>
  <si>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</si>
  <si>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</si>
  <si>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</si>
  <si>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</si>
  <si>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</si>
  <si>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</si>
  <si>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</si>
  <si>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</si>
  <si>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</si>
  <si>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</si>
  <si>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</si>
  <si>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</si>
  <si>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</si>
  <si>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</si>
  <si>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</si>
  <si>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</si>
  <si>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</si>
  <si>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</si>
  <si>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</si>
  <si>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</si>
  <si>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</si>
  <si>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</si>
  <si>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</si>
  <si>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</si>
  <si>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</si>
  <si>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</si>
  <si>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</si>
  <si>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</si>
  <si>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</si>
  <si>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</si>
  <si>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</si>
  <si>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</si>
  <si>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</si>
  <si>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</si>
  <si>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</si>
  <si>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</si>
  <si>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</si>
  <si>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</si>
  <si>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</si>
  <si>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</si>
  <si>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</si>
  <si>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</si>
  <si>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</si>
  <si>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</si>
  <si>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</si>
  <si>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</si>
  <si>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</si>
  <si>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</si>
  <si>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</si>
  <si>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</si>
  <si>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</si>
  <si>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</si>
  <si>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</si>
  <si>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</si>
  <si>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</si>
  <si>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</si>
  <si>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</si>
  <si>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</si>
  <si>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</si>
  <si>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</si>
  <si>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</si>
  <si>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</si>
  <si>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</si>
  <si>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</si>
  <si>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</si>
  <si>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</si>
  <si>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</si>
  <si>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</si>
  <si>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</si>
  <si>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</si>
  <si>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</si>
  <si>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</si>
  <si>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</si>
  <si>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</si>
  <si>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</si>
  <si>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</si>
  <si>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</si>
  <si>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</si>
  <si>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</si>
  <si>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</si>
  <si>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</si>
  <si>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</si>
  <si>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</si>
  <si>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</si>
  <si>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</si>
  <si>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</si>
  <si>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</si>
  <si>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</si>
  <si>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</si>
  <si>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</si>
  <si>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</si>
  <si>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</si>
  <si>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</si>
  <si>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</si>
  <si>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</si>
  <si>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</si>
  <si>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</si>
  <si>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</si>
  <si>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</si>
  <si>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</si>
  <si>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</si>
  <si>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</si>
  <si>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</si>
  <si>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</si>
  <si>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</si>
  <si>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</si>
  <si>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</si>
  <si>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</si>
  <si>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</si>
  <si>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</si>
  <si>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</si>
  <si>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</si>
  <si>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</si>
  <si>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</si>
  <si>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</si>
  <si>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</si>
  <si>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</si>
  <si>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</si>
  <si>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</si>
  <si>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</si>
  <si>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</si>
  <si>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</si>
  <si>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</si>
  <si>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</si>
  <si>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</si>
  <si>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</si>
  <si>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</si>
  <si>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</si>
  <si>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</si>
  <si>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</si>
  <si>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</si>
  <si>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</si>
  <si>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</si>
  <si>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</si>
  <si>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</si>
  <si>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</si>
  <si>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</si>
  <si>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</si>
  <si>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</si>
  <si>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</si>
  <si>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</si>
  <si>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</si>
  <si>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</si>
  <si>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</si>
  <si>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</si>
  <si>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</si>
  <si>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</si>
  <si>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</si>
  <si>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</si>
  <si>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</si>
  <si>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</si>
  <si>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</si>
  <si>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</si>
  <si>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</si>
  <si>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</si>
  <si>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</si>
  <si>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</si>
  <si>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</si>
  <si>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</si>
  <si>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</si>
  <si>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</si>
  <si>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</si>
  <si>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</si>
  <si>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</si>
  <si>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</si>
  <si>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</si>
  <si>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</si>
  <si>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</si>
  <si>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</si>
  <si>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</si>
  <si>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</si>
  <si>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</si>
  <si>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</si>
  <si>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</si>
  <si>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</si>
  <si>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</si>
  <si>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</si>
  <si>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</si>
  <si>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</si>
  <si>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</si>
  <si>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</si>
  <si>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</si>
  <si>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</si>
  <si>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</si>
  <si>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</si>
  <si>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</si>
  <si>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</si>
  <si>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</si>
  <si>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</si>
  <si>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</si>
  <si>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</si>
  <si>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</si>
  <si>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</si>
  <si>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</si>
  <si>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</si>
  <si>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</si>
  <si>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</si>
  <si>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</si>
  <si>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</si>
  <si>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</si>
  <si>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</si>
  <si>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</si>
  <si>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</si>
  <si>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</si>
  <si>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</si>
  <si>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</si>
  <si>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</si>
  <si>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</si>
  <si>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</si>
  <si>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</si>
  <si>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</si>
  <si>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</si>
  <si>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</si>
  <si>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</si>
  <si>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</si>
  <si>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</si>
  <si>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</si>
  <si>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</si>
  <si>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</si>
  <si>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</si>
  <si>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</si>
  <si>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</si>
  <si>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</si>
  <si>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</si>
  <si>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</si>
  <si>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</si>
  <si>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</si>
  <si>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</si>
  <si>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</si>
  <si>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</si>
  <si>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</si>
  <si>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</si>
  <si>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</si>
  <si>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</si>
  <si>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</si>
  <si>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</si>
  <si>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</si>
  <si>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</si>
  <si>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</si>
  <si>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</si>
  <si>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</si>
  <si>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</si>
  <si>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</si>
  <si>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</si>
  <si>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</si>
  <si>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</si>
  <si>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</si>
  <si>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</si>
  <si>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</si>
  <si>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</si>
  <si>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</si>
  <si>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</si>
  <si>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</si>
  <si>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</si>
  <si>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</si>
  <si>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</si>
  <si>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</si>
  <si>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</si>
  <si>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</si>
  <si>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</si>
  <si>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</si>
  <si>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</si>
  <si>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</si>
  <si>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</si>
  <si>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</si>
  <si>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</si>
  <si>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</si>
  <si>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</si>
  <si>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</si>
  <si>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</si>
  <si>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</si>
  <si>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</si>
  <si>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</si>
  <si>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</si>
  <si>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</si>
  <si>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</si>
  <si>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</si>
  <si>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</si>
  <si>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</si>
  <si>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</si>
  <si>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</si>
  <si>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</si>
  <si>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</si>
  <si>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</si>
  <si>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</si>
  <si>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</si>
  <si>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</si>
  <si>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</si>
  <si>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</si>
  <si>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</si>
  <si>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</si>
  <si>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</si>
  <si>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</si>
  <si>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</si>
  <si>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</si>
  <si>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</si>
  <si>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</si>
  <si>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</si>
  <si>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</si>
  <si>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</si>
  <si>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</si>
  <si>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</si>
  <si>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</si>
  <si>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</si>
  <si>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</si>
  <si>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</si>
  <si>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</si>
  <si>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</si>
  <si>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</si>
  <si>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</si>
  <si>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</si>
  <si>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</si>
  <si>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</si>
  <si>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</si>
  <si>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</si>
  <si>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</si>
  <si>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</si>
  <si>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</si>
  <si>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</si>
  <si>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</si>
  <si>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</si>
  <si>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</si>
  <si>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</si>
  <si>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</si>
  <si>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</si>
  <si>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</si>
  <si>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</si>
  <si>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</si>
  <si>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</si>
  <si>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</si>
  <si>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</si>
  <si>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</si>
  <si>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</si>
  <si>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</si>
  <si>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</si>
  <si>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</si>
  <si>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</si>
  <si>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</si>
  <si>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</si>
  <si>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</si>
  <si>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</si>
  <si>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</si>
  <si>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</si>
  <si>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</si>
  <si>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</si>
  <si>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</si>
  <si>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</si>
  <si>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</si>
  <si>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</si>
  <si>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</si>
  <si>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</si>
  <si>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</si>
  <si>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</si>
  <si>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</si>
  <si>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</si>
  <si>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</si>
  <si>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</si>
  <si>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</si>
  <si>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</si>
  <si>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</si>
  <si>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</si>
  <si>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</si>
  <si>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</si>
  <si>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</si>
  <si>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</si>
  <si>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</si>
  <si>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</si>
  <si>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</si>
  <si>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</si>
  <si>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</si>
  <si>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</si>
  <si>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</si>
  <si>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</si>
  <si>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</si>
  <si>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</si>
  <si>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</si>
  <si>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</si>
  <si>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</si>
  <si>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</si>
  <si>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</si>
  <si>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</si>
  <si>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</si>
  <si>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</si>
  <si>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</si>
  <si>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</si>
  <si>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</si>
  <si>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</si>
  <si>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</si>
  <si>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</si>
  <si>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</si>
  <si>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</si>
  <si>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</si>
  <si>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</si>
  <si>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</si>
  <si>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</si>
  <si>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</si>
  <si>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</si>
  <si>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</si>
  <si>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</si>
  <si>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</si>
  <si>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</si>
  <si>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</si>
  <si>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</si>
  <si>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</si>
  <si>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</si>
  <si>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</si>
  <si>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</si>
  <si>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</si>
  <si>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</si>
  <si>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</si>
  <si>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</si>
  <si>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</si>
  <si>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</si>
  <si>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</si>
  <si>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</si>
  <si>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</si>
  <si>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</si>
  <si>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</si>
  <si>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</si>
  <si>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</si>
  <si>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</si>
  <si>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</si>
  <si>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</si>
  <si>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</si>
  <si>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</si>
  <si>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</si>
  <si>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</si>
  <si>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</si>
  <si>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</si>
  <si>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</si>
  <si>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</si>
  <si>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</si>
  <si>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</si>
  <si>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</si>
  <si>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</si>
  <si>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</si>
  <si>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</si>
  <si>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</si>
  <si>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</si>
  <si>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</si>
  <si>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</si>
  <si>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</si>
  <si>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</si>
  <si>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</si>
  <si>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</si>
  <si>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</si>
  <si>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</si>
  <si>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</si>
  <si>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</si>
  <si>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</si>
  <si>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</si>
  <si>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</si>
  <si>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</si>
  <si>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</si>
  <si>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</si>
  <si>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</si>
  <si>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</si>
  <si>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</si>
  <si>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</si>
  <si>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</si>
  <si>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</si>
  <si>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</si>
  <si>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</si>
  <si>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</si>
  <si>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</si>
  <si>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</si>
  <si>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</si>
  <si>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</si>
  <si>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</si>
  <si>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</si>
  <si>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</si>
  <si>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</si>
  <si>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</si>
  <si>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</si>
  <si>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</si>
  <si>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</si>
  <si>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</si>
  <si>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</si>
  <si>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</si>
  <si>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</si>
  <si>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</si>
  <si>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</si>
  <si>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</si>
  <si>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</si>
  <si>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</si>
  <si>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</si>
  <si>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</si>
  <si>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</si>
  <si>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</si>
  <si>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</si>
  <si>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</si>
  <si>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</si>
  <si>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</si>
  <si>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</si>
  <si>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</si>
  <si>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</si>
  <si>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</si>
  <si>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</si>
  <si>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</si>
  <si>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</si>
  <si>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</si>
  <si>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</si>
  <si>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</si>
  <si>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</si>
  <si>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</si>
  <si>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</si>
  <si>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</si>
  <si>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</si>
  <si>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</si>
  <si>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</si>
  <si>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</si>
  <si>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</si>
  <si>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</si>
  <si>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</si>
  <si>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</si>
  <si>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</si>
  <si>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</si>
  <si>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</si>
  <si>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</si>
  <si>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</si>
  <si>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</si>
  <si>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</si>
  <si>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</si>
  <si>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</si>
  <si>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</si>
  <si>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</si>
  <si>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</si>
  <si>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</si>
  <si>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</si>
  <si>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</si>
  <si>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</si>
  <si>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</si>
  <si>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</si>
  <si>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</si>
  <si>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</si>
  <si>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</si>
  <si>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</si>
  <si>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</si>
  <si>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</si>
  <si>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</si>
  <si>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</si>
  <si>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</si>
  <si>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</si>
  <si>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</si>
  <si>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</si>
  <si>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</si>
  <si>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</si>
  <si>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</si>
  <si>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</si>
  <si>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</si>
  <si>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</si>
  <si>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</si>
  <si>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</si>
  <si>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</si>
  <si>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</si>
  <si>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</si>
  <si>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</si>
  <si>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</si>
  <si>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</si>
  <si>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</si>
  <si>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</si>
  <si>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</si>
  <si>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</si>
  <si>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</si>
  <si>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</si>
  <si>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</si>
  <si>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</si>
  <si>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</si>
  <si>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</si>
  <si>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</si>
  <si>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</si>
  <si>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</si>
  <si>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</si>
  <si>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</si>
  <si>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</si>
  <si>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</si>
  <si>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</si>
  <si>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</si>
  <si>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</si>
  <si>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</si>
  <si>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</si>
  <si>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</si>
  <si>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</si>
  <si>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</si>
  <si>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</si>
  <si>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</si>
  <si>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</si>
  <si>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</si>
  <si>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</si>
  <si>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</si>
  <si>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</si>
  <si>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</si>
  <si>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</si>
  <si>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</si>
  <si>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</si>
  <si>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</si>
  <si>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</si>
  <si>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</si>
  <si>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</si>
  <si>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</si>
  <si>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</si>
  <si>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</si>
  <si>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</si>
  <si>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</si>
  <si>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</si>
  <si>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</si>
  <si>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</si>
  <si>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</si>
  <si>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</si>
  <si>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</si>
  <si>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</si>
  <si>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</si>
  <si>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</si>
  <si>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</si>
  <si>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</si>
  <si>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</si>
  <si>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</si>
  <si>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</si>
  <si>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</si>
  <si>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</si>
  <si>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</si>
  <si>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</si>
  <si>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</si>
  <si>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</si>
  <si>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</si>
  <si>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</si>
  <si>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</si>
  <si>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</si>
  <si>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</si>
  <si>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</si>
  <si>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</si>
  <si>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</si>
  <si>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</si>
  <si>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</si>
  <si>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</si>
  <si>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</si>
  <si>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</si>
  <si>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</si>
  <si>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</si>
  <si>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</si>
  <si>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</si>
  <si>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</si>
  <si>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</si>
  <si>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</si>
  <si>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</si>
  <si>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</si>
  <si>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</si>
  <si>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</si>
  <si>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</si>
  <si>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</si>
  <si>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</si>
  <si>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</si>
  <si>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</si>
  <si>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</si>
  <si>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</si>
  <si>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</si>
  <si>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</si>
  <si>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</si>
  <si>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</si>
  <si>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</si>
  <si>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</si>
  <si>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</si>
  <si>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</si>
  <si>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</si>
  <si>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</si>
  <si>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</si>
  <si>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</si>
  <si>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</si>
  <si>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</si>
  <si>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</si>
  <si>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</si>
  <si>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</si>
  <si>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</si>
  <si>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</si>
  <si>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</si>
  <si>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</si>
  <si>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</si>
  <si>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</si>
  <si>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</si>
  <si>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</si>
  <si>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</si>
  <si>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</si>
  <si>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</si>
  <si>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</si>
  <si>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</si>
  <si>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</si>
  <si>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</si>
  <si>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</si>
  <si>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</si>
  <si>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</si>
  <si>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</si>
  <si>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</si>
  <si>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</si>
  <si>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</si>
  <si>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</si>
  <si>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</si>
  <si>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</si>
  <si>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</si>
  <si>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</si>
  <si>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</si>
  <si>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</si>
  <si>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</si>
  <si>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</si>
  <si>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</si>
  <si>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</si>
  <si>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</si>
  <si>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</si>
  <si>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</si>
  <si>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</si>
  <si>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</si>
  <si>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</si>
  <si>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</si>
  <si>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</si>
  <si>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</si>
  <si>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</si>
  <si>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</si>
  <si>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</si>
  <si>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</si>
  <si>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</si>
  <si>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</si>
  <si>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</si>
  <si>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</si>
  <si>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</si>
  <si>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</si>
  <si>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</si>
  <si>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</si>
  <si>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</si>
  <si>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</si>
  <si>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</si>
  <si>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</si>
  <si>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</si>
  <si>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</si>
  <si>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</si>
  <si>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</si>
  <si>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</si>
  <si>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</si>
  <si>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</si>
  <si>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</si>
  <si>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</si>
  <si>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</si>
  <si>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</si>
  <si>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</si>
  <si>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</si>
  <si>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</si>
  <si>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</si>
  <si>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</si>
  <si>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</si>
  <si>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</si>
  <si>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</si>
  <si>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</si>
  <si>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</si>
  <si>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</si>
  <si>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</si>
  <si>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</si>
  <si>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</si>
  <si>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</si>
  <si>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</si>
  <si>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</si>
  <si>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</si>
  <si>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</si>
  <si>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</si>
  <si>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</si>
  <si>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</si>
  <si>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</si>
  <si>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</si>
  <si>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</si>
  <si>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</si>
  <si>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</si>
  <si>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</si>
  <si>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</si>
  <si>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</si>
  <si>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</si>
  <si>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</si>
  <si>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</si>
  <si>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</si>
  <si>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</si>
  <si>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</si>
  <si>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</si>
  <si>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</si>
  <si>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</si>
  <si>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</si>
  <si>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</si>
  <si>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</si>
  <si>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</si>
  <si>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</si>
  <si>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</si>
  <si>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</si>
  <si>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</si>
  <si>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</si>
  <si>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</si>
  <si>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</si>
  <si>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</si>
  <si>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</si>
  <si>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</si>
  <si>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</si>
  <si>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</si>
  <si>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</si>
  <si>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</si>
  <si>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</si>
  <si>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</si>
  <si>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</si>
  <si>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</si>
  <si>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</si>
  <si>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</si>
  <si>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</si>
  <si>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</si>
  <si>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</si>
  <si>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</si>
  <si>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</si>
  <si>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</si>
  <si>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</si>
  <si>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</si>
  <si>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</si>
  <si>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</si>
  <si>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</si>
  <si>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</si>
  <si>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</si>
  <si>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</si>
  <si>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</si>
  <si>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</si>
  <si>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</si>
  <si>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</si>
  <si>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</si>
  <si>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</si>
  <si>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</si>
  <si>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</si>
  <si>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</si>
  <si>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</si>
  <si>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</si>
  <si>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</si>
  <si>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</si>
  <si>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</si>
  <si>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</si>
  <si>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</si>
  <si>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</si>
  <si>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</si>
  <si>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</si>
  <si>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</si>
  <si>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</si>
  <si>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</si>
  <si>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</si>
  <si>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</si>
  <si>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</si>
  <si>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</si>
  <si>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</si>
  <si>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</si>
  <si>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</si>
  <si>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</si>
  <si>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</si>
  <si>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</si>
  <si>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</si>
  <si>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</si>
  <si>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</si>
  <si>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</si>
  <si>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</si>
  <si>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</si>
  <si>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</si>
  <si>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</si>
  <si>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</si>
  <si>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</si>
  <si>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</si>
  <si>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</si>
  <si>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</si>
  <si>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</si>
  <si>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</si>
  <si>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</si>
  <si>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</si>
  <si>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</si>
  <si>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</si>
  <si>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</si>
  <si>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</si>
  <si>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</si>
  <si>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</si>
  <si>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</si>
  <si>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</si>
  <si>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</si>
  <si>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</si>
  <si>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</si>
  <si>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</si>
  <si>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</si>
  <si>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</si>
  <si>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</si>
  <si>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</si>
  <si>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</si>
  <si>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</si>
  <si>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</si>
  <si>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</si>
  <si>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</si>
  <si>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</si>
  <si>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</si>
  <si>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</si>
  <si>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</si>
  <si>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</si>
  <si>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</si>
  <si>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</si>
  <si>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</si>
  <si>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</si>
  <si>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</si>
  <si>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</si>
  <si>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</si>
  <si>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</si>
  <si>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</si>
  <si>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</si>
  <si>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</si>
  <si>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</si>
  <si>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</si>
  <si>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</si>
  <si>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</si>
  <si>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</si>
  <si>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</si>
  <si>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</si>
  <si>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</si>
  <si>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</si>
  <si>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</si>
  <si>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</si>
  <si>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</si>
  <si>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</si>
  <si>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</si>
  <si>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</si>
  <si>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</si>
  <si>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</si>
  <si>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</si>
  <si>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</si>
  <si>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</si>
  <si>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</si>
  <si>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</si>
  <si>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</si>
  <si>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</si>
  <si>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</si>
  <si>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</si>
  <si>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</si>
  <si>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</si>
  <si>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</si>
  <si>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</si>
  <si>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</si>
  <si>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</si>
  <si>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</si>
  <si>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</si>
  <si>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</si>
  <si>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</si>
  <si>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</si>
  <si>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</si>
  <si>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</si>
  <si>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</si>
  <si>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</si>
  <si>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</si>
  <si>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</si>
  <si>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</si>
  <si>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</si>
  <si>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</si>
  <si>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</si>
  <si>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</si>
  <si>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</si>
  <si>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</si>
  <si>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</si>
  <si>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</si>
  <si>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</si>
  <si>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</si>
  <si>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</si>
  <si>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</si>
  <si>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</si>
  <si>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</si>
  <si>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</si>
  <si>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</si>
  <si>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</si>
  <si>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</si>
  <si>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</si>
  <si>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</si>
  <si>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</si>
  <si>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</si>
  <si>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</si>
  <si>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</si>
  <si>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</si>
  <si>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</si>
  <si>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</si>
  <si>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</si>
  <si>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</si>
  <si>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</si>
  <si>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</si>
  <si>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</si>
  <si>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</si>
  <si>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</si>
  <si>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</si>
  <si>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</si>
  <si>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</si>
  <si>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</si>
  <si>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</si>
  <si>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</si>
  <si>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</si>
  <si>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</si>
  <si>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</si>
  <si>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</si>
  <si>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</si>
  <si>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</si>
  <si>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</si>
  <si>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</si>
  <si>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</si>
  <si>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</si>
  <si>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</si>
  <si>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</si>
  <si>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</si>
  <si>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</si>
  <si>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</si>
  <si>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</si>
  <si>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</si>
  <si>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</si>
  <si>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</si>
  <si>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</si>
  <si>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</si>
  <si>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</si>
  <si>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</si>
  <si>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</si>
  <si>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</si>
  <si>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</si>
  <si>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</si>
  <si>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</si>
  <si>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</si>
  <si>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</si>
  <si>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</si>
  <si>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</si>
  <si>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</si>
  <si>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</si>
  <si>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</si>
  <si>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</si>
  <si>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</si>
  <si>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</si>
  <si>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</si>
  <si>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</si>
  <si>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</si>
  <si>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</si>
  <si>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</si>
  <si>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</si>
  <si>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</si>
  <si>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</si>
  <si>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</si>
  <si>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</si>
  <si>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</si>
  <si>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</si>
  <si>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</si>
  <si>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</si>
  <si>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</si>
  <si>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</si>
  <si>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</si>
  <si>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</si>
  <si>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</si>
  <si>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</si>
  <si>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</si>
  <si>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</si>
  <si>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</si>
  <si>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</si>
  <si>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</si>
  <si>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</si>
  <si>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</si>
  <si>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</si>
  <si>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</si>
  <si>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</si>
  <si>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</si>
  <si>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</si>
  <si>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</si>
  <si>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</si>
  <si>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</si>
  <si>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</si>
  <si>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</si>
  <si>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</si>
  <si>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</si>
  <si>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</si>
  <si>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</si>
  <si>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</si>
  <si>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</si>
  <si>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</si>
  <si>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</si>
  <si>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</si>
  <si>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</si>
  <si>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</si>
  <si>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</si>
  <si>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</si>
  <si>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</si>
  <si>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</si>
  <si>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</si>
  <si>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</si>
  <si>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</si>
  <si>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</si>
  <si>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</si>
  <si>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</si>
  <si>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</si>
  <si>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</si>
  <si>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</si>
  <si>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</si>
  <si>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</si>
  <si>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</si>
  <si>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</si>
  <si>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</si>
  <si>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</si>
  <si>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</si>
  <si>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</si>
  <si>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</si>
  <si>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</si>
  <si>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</si>
  <si>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</si>
  <si>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</si>
  <si>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</si>
  <si>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</si>
  <si>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</si>
  <si>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</si>
  <si>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</si>
  <si>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</si>
  <si>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</si>
  <si>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</si>
  <si>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</si>
  <si>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</si>
  <si>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</si>
  <si>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</si>
  <si>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</si>
  <si>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</si>
  <si>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</si>
  <si>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</si>
  <si>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</si>
  <si>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</si>
  <si>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</si>
  <si>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</si>
  <si>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</si>
  <si>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</si>
  <si>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</si>
  <si>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</si>
  <si>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</si>
  <si>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</si>
  <si>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</si>
  <si>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</si>
  <si>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</si>
  <si>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</si>
  <si>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</si>
  <si>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</si>
  <si>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</si>
  <si>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</si>
  <si>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</si>
  <si>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</si>
  <si>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</si>
  <si>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</si>
  <si>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</si>
  <si>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</si>
  <si>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</si>
  <si>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</si>
  <si>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</si>
  <si>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</si>
  <si>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</si>
  <si>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</si>
  <si>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</si>
  <si>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</si>
  <si>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</si>
  <si>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</si>
  <si>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</si>
  <si>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</si>
  <si>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</si>
  <si>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</si>
  <si>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</si>
  <si>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</si>
  <si>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</si>
  <si>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</si>
  <si>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</si>
  <si>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</si>
  <si>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</si>
  <si>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</si>
  <si>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</si>
  <si>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</si>
  <si>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</si>
  <si>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</si>
  <si>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</si>
  <si>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</si>
  <si>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</si>
  <si>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</si>
  <si>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</si>
  <si>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</si>
  <si>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</si>
  <si>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</si>
  <si>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</si>
  <si>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</si>
  <si>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</si>
  <si>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</si>
  <si>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</si>
  <si>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</si>
  <si>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</si>
  <si>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</si>
  <si>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</si>
  <si>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</si>
  <si>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</si>
  <si>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</si>
  <si>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</si>
  <si>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</si>
  <si>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</si>
  <si>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</si>
  <si>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</si>
  <si>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</si>
  <si>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</si>
  <si>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</si>
  <si>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</si>
  <si>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</si>
  <si>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</si>
  <si>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</si>
  <si>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</si>
  <si>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</si>
  <si>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</si>
  <si>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</si>
  <si>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</si>
  <si>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</si>
  <si>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</si>
  <si>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</si>
  <si>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</si>
  <si>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</si>
  <si>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</si>
  <si>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</si>
  <si>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</si>
  <si>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</si>
  <si>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</si>
  <si>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</si>
  <si>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</si>
  <si>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</si>
  <si>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</si>
  <si>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</si>
  <si>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</si>
  <si>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</si>
  <si>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</si>
  <si>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</si>
  <si>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</si>
  <si>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</si>
  <si>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</si>
  <si>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</si>
  <si>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</si>
  <si>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</si>
  <si>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</si>
  <si>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</si>
  <si>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</si>
  <si>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</si>
  <si>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</si>
  <si>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</si>
  <si>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</si>
  <si>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</si>
  <si>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</si>
  <si>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</si>
  <si>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</si>
  <si>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</si>
  <si>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</si>
  <si>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</si>
  <si>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</si>
  <si>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</si>
  <si>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</si>
  <si>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</si>
  <si>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</si>
  <si>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</si>
  <si>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</si>
  <si>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</si>
  <si>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</si>
  <si>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</si>
  <si>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</si>
  <si>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</si>
  <si>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</si>
  <si>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</si>
  <si>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</si>
  <si>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</si>
  <si>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</si>
  <si>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</si>
  <si>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</si>
  <si>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</si>
  <si>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</si>
  <si>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</si>
  <si>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</si>
  <si>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</si>
  <si>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</si>
  <si>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</si>
  <si>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</si>
  <si>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</si>
  <si>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</si>
  <si>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</si>
  <si>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</si>
  <si>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</si>
  <si>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</si>
  <si>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</si>
  <si>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</si>
  <si>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</si>
  <si>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</si>
  <si>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</si>
  <si>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</si>
  <si>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</si>
  <si>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</si>
  <si>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</si>
  <si>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</si>
  <si>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</si>
  <si>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</si>
  <si>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</si>
  <si>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</si>
  <si>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</si>
  <si>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</si>
  <si>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</si>
  <si>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</si>
  <si>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</si>
  <si>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</si>
  <si>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</si>
  <si>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</si>
  <si>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</si>
  <si>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</si>
  <si>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</si>
  <si>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</si>
  <si>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</si>
  <si>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</si>
  <si>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</si>
  <si>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</si>
  <si>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</si>
  <si>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</si>
  <si>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</si>
  <si>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</si>
  <si>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</si>
  <si>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</si>
  <si>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</si>
  <si>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</si>
  <si>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</si>
  <si>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</si>
  <si>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</si>
  <si>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</si>
  <si>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</si>
  <si>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</si>
  <si>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</si>
  <si>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</si>
  <si>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</si>
  <si>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</si>
  <si>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</si>
  <si>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</si>
  <si>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</si>
  <si>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</si>
  <si>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</si>
  <si>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</si>
  <si>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</si>
  <si>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</si>
  <si>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</si>
  <si>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</si>
  <si>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</si>
  <si>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</si>
  <si>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</si>
  <si>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</si>
  <si>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</si>
  <si>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</si>
  <si>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</si>
  <si>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</si>
  <si>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</si>
  <si>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</si>
  <si>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</si>
  <si>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</si>
  <si>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</si>
  <si>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</si>
  <si>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</si>
  <si>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</si>
  <si>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</si>
  <si>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</si>
  <si>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</si>
  <si>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</si>
  <si>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</si>
  <si>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</si>
  <si>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</si>
  <si>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</si>
  <si>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</si>
  <si>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</si>
  <si>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</si>
  <si>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</si>
  <si>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</si>
  <si>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</si>
  <si>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</si>
  <si>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</si>
  <si>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</si>
  <si>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</si>
  <si>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</si>
  <si>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</si>
  <si>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</si>
  <si>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</si>
  <si>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</si>
  <si>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</si>
  <si>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</si>
  <si>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</si>
  <si>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</si>
  <si>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</si>
  <si>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</si>
  <si>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</si>
  <si>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</si>
  <si>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</si>
  <si>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</si>
  <si>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</si>
  <si>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</si>
  <si>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</si>
  <si>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</si>
  <si>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</si>
  <si>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</si>
  <si>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</si>
  <si>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</si>
  <si>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</si>
  <si>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</si>
  <si>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</si>
  <si>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</si>
  <si>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</si>
  <si>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</si>
  <si>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</si>
  <si>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</si>
  <si>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</si>
  <si>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</si>
  <si>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</si>
  <si>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</si>
  <si>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</si>
  <si>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</si>
  <si>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</si>
  <si>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</si>
  <si>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</si>
  <si>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</si>
  <si>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</si>
  <si>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</si>
  <si>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</si>
  <si>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</si>
  <si>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</si>
  <si>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</si>
  <si>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</si>
  <si>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</si>
  <si>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</si>
  <si>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</si>
  <si>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</si>
  <si>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</si>
  <si>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</si>
  <si>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</si>
  <si>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</si>
  <si>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</si>
  <si>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</si>
  <si>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</si>
  <si>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</si>
  <si>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</si>
  <si>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</si>
  <si>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</si>
  <si>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</si>
  <si>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</si>
  <si>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</si>
  <si>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</si>
  <si>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</si>
  <si>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</si>
  <si>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</si>
  <si>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</si>
  <si>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</si>
  <si>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</si>
  <si>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</si>
  <si>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</si>
  <si>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</si>
  <si>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</si>
  <si>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</si>
  <si>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</si>
  <si>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</si>
  <si>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</si>
  <si>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</si>
  <si>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</si>
  <si>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</si>
  <si>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</si>
  <si>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</si>
  <si>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</si>
  <si>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</si>
  <si>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</si>
  <si>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</si>
  <si>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</si>
  <si>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</si>
  <si>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</si>
  <si>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</si>
  <si>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</si>
  <si>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</si>
  <si>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</si>
  <si>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</si>
  <si>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</si>
  <si>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</si>
  <si>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</si>
  <si>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</si>
  <si>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</si>
  <si>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</si>
  <si>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</si>
  <si>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</si>
  <si>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</si>
  <si>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</si>
  <si>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</si>
  <si>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</si>
  <si>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</si>
  <si>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</si>
  <si>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</si>
  <si>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</si>
  <si>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</si>
  <si>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</si>
  <si>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</si>
  <si>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</si>
  <si>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</si>
  <si>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</si>
  <si>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</si>
  <si>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</si>
  <si>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</si>
  <si>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</si>
  <si>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</si>
  <si>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</si>
  <si>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</si>
  <si>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</si>
  <si>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</si>
  <si>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</si>
  <si>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</si>
  <si>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</si>
  <si>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</si>
  <si>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</si>
  <si>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</si>
  <si>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</si>
  <si>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</si>
  <si>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</si>
  <si>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</si>
  <si>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</si>
  <si>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</si>
  <si>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</si>
  <si>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</si>
  <si>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</si>
  <si>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</si>
  <si>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</si>
  <si>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</si>
  <si>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</si>
  <si>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</si>
  <si>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</si>
  <si>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</si>
  <si>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</si>
  <si>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</si>
  <si>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</si>
  <si>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</si>
  <si>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</si>
  <si>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</si>
  <si>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</si>
  <si>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</si>
  <si>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</si>
  <si>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</si>
  <si>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</si>
  <si>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</si>
  <si>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</si>
  <si>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</si>
  <si>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</si>
  <si>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</si>
  <si>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</si>
  <si>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</si>
  <si>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</si>
  <si>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</si>
  <si>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</si>
  <si>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</si>
  <si>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</si>
  <si>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</si>
  <si>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</si>
  <si>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</si>
  <si>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</si>
  <si>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</si>
  <si>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</si>
  <si>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</si>
  <si>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</si>
  <si>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</si>
  <si>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</si>
  <si>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</si>
  <si>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</si>
  <si>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</si>
  <si>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</si>
  <si>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</si>
  <si>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</si>
  <si>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</si>
  <si>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</si>
  <si>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</si>
  <si>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</si>
  <si>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</si>
  <si>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</si>
  <si>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</si>
  <si>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</si>
  <si>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</si>
  <si>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</si>
  <si>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</si>
  <si>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</si>
  <si>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</si>
  <si>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</si>
  <si>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</si>
  <si>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</si>
  <si>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</si>
  <si>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</si>
  <si>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</si>
  <si>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</si>
  <si>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</si>
  <si>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</si>
  <si>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</si>
  <si>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</si>
  <si>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</si>
  <si>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</si>
  <si>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</si>
  <si>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</si>
  <si>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</si>
  <si>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</si>
  <si>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</si>
  <si>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</si>
  <si>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</si>
  <si>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</si>
  <si>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</si>
  <si>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</si>
  <si>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</si>
  <si>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</si>
  <si>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</si>
  <si>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</si>
  <si>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</si>
  <si>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</si>
  <si>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</si>
  <si>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</si>
  <si>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</si>
  <si>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</si>
  <si>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</si>
  <si>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</si>
  <si>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</si>
  <si>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</si>
  <si>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</si>
  <si>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</si>
  <si>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</si>
  <si>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</si>
  <si>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</si>
  <si>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</si>
  <si>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</si>
  <si>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</si>
  <si>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</si>
  <si>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</si>
  <si>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</si>
  <si>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</si>
  <si>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</si>
  <si>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</si>
  <si>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</si>
  <si>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</si>
  <si>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</si>
  <si>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</si>
  <si>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</si>
  <si>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</si>
  <si>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</si>
  <si>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</si>
  <si>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</si>
  <si>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</si>
  <si>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</si>
  <si>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</si>
  <si>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</si>
  <si>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</si>
  <si>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</si>
  <si>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</si>
  <si>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</si>
  <si>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</si>
  <si>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</si>
  <si>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</si>
  <si>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</si>
  <si>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</si>
  <si>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</si>
  <si>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</si>
  <si>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</si>
  <si>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</si>
  <si>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</si>
  <si>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</si>
  <si>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</si>
  <si>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</si>
  <si>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</si>
  <si>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</si>
  <si>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</si>
  <si>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</si>
  <si>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</si>
  <si>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</si>
  <si>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</si>
  <si>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</si>
  <si>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</si>
  <si>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</si>
  <si>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</si>
  <si>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</si>
  <si>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</si>
  <si>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</si>
  <si>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</si>
  <si>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</si>
  <si>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</si>
  <si>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</si>
  <si>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</si>
  <si>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</si>
  <si>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</si>
  <si>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</si>
  <si>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</si>
  <si>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</si>
  <si>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</si>
  <si>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</si>
  <si>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</si>
  <si>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</si>
  <si>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</si>
  <si>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</si>
  <si>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</si>
  <si>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</si>
  <si>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</si>
  <si>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</si>
  <si>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</si>
  <si>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</si>
  <si>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</si>
  <si>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</si>
  <si>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</si>
  <si>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</si>
  <si>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</si>
  <si>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</si>
  <si>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</si>
  <si>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</si>
  <si>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</si>
  <si>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</si>
  <si>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</si>
  <si>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</si>
  <si>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</si>
  <si>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</si>
  <si>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</si>
  <si>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</si>
  <si>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</si>
  <si>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</si>
  <si>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</si>
  <si>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</si>
  <si>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</si>
  <si>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</si>
  <si>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</si>
  <si>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</si>
  <si>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</si>
  <si>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</si>
  <si>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</si>
  <si>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</si>
  <si>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</si>
  <si>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</si>
  <si>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</si>
  <si>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</si>
  <si>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</si>
  <si>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</si>
  <si>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</si>
  <si>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</si>
  <si>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</si>
  <si>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</si>
  <si>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</si>
  <si>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</si>
  <si>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</si>
  <si>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</si>
  <si>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</si>
  <si>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</si>
  <si>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</si>
  <si>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</si>
  <si>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</si>
  <si>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</si>
  <si>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</si>
  <si>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</si>
  <si>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</si>
  <si>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</si>
  <si>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</si>
  <si>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</si>
  <si>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</si>
  <si>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</si>
  <si>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</si>
  <si>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</si>
  <si>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</si>
  <si>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</si>
  <si>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</si>
  <si>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</si>
  <si>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</si>
  <si>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</si>
  <si>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</si>
  <si>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</si>
  <si>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</si>
  <si>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</si>
  <si>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</si>
  <si>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</si>
  <si>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</si>
  <si>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</si>
  <si>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</si>
  <si>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</si>
  <si>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</si>
  <si>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</si>
  <si>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</si>
  <si>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</si>
  <si>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</si>
  <si>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</si>
  <si>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</si>
  <si>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</si>
  <si>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</si>
  <si>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</si>
  <si>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</si>
  <si>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</si>
  <si>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</si>
  <si>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</si>
  <si>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</si>
  <si>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</si>
  <si>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</si>
  <si>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</si>
  <si>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</si>
  <si>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</si>
  <si>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</si>
  <si>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</si>
  <si>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</si>
  <si>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</si>
  <si>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</si>
  <si>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</si>
  <si>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</si>
  <si>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</si>
  <si>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</si>
  <si>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</si>
  <si>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</si>
  <si>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</si>
  <si>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</si>
  <si>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</si>
  <si>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</si>
  <si>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</si>
  <si>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</si>
  <si>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</si>
  <si>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</si>
  <si>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</si>
  <si>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</si>
  <si>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</si>
  <si>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</si>
  <si>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</si>
  <si>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</si>
  <si>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</si>
  <si>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</si>
  <si>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</si>
  <si>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</si>
  <si>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</si>
  <si>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</si>
  <si>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</si>
  <si>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</si>
  <si>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</si>
  <si>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</si>
  <si>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</si>
  <si>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</si>
  <si>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</si>
  <si>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</si>
  <si>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</si>
  <si>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</si>
  <si>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</si>
  <si>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</si>
  <si>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</si>
  <si>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</si>
  <si>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</si>
  <si>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</si>
  <si>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</si>
  <si>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</si>
  <si>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</si>
  <si>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</si>
  <si>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</si>
  <si>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</si>
  <si>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</si>
  <si>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</si>
  <si>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</si>
  <si>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</si>
  <si>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</si>
  <si>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</si>
  <si>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</si>
  <si>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</si>
  <si>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</si>
  <si>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</si>
  <si>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</si>
  <si>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</si>
  <si>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</si>
  <si>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</si>
  <si>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</si>
  <si>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</si>
  <si>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</si>
  <si>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</si>
  <si>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</si>
  <si>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</si>
  <si>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</si>
  <si>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</si>
  <si>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</si>
  <si>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</si>
  <si>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</si>
  <si>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</si>
  <si>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</si>
  <si>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</si>
  <si>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</si>
  <si>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</si>
  <si>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</si>
  <si>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</si>
  <si>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</si>
  <si>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</si>
  <si>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</si>
  <si>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</si>
  <si>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</si>
  <si>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</si>
  <si>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</si>
  <si>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</si>
  <si>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</si>
  <si>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</si>
  <si>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</si>
  <si>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</si>
  <si>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</si>
  <si>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</si>
  <si>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</si>
  <si>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</si>
  <si>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</si>
  <si>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</si>
  <si>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</si>
  <si>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</si>
  <si>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</si>
  <si>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</si>
  <si>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</si>
  <si>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</si>
  <si>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</si>
  <si>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</si>
  <si>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</si>
  <si>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</si>
  <si>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</si>
  <si>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</si>
  <si>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</si>
  <si>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</si>
  <si>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</si>
  <si>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</si>
  <si>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</si>
  <si>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</si>
  <si>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</si>
  <si>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</si>
  <si>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</si>
  <si>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</si>
  <si>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</si>
  <si>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</si>
  <si>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</si>
  <si>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</si>
  <si>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</si>
  <si>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</si>
  <si>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</si>
  <si>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</si>
  <si>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</si>
  <si>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</si>
  <si>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</si>
  <si>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</si>
  <si>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</si>
  <si>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</si>
  <si>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</si>
  <si>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</si>
  <si>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</si>
  <si>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</si>
  <si>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</si>
  <si>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</si>
  <si>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</si>
  <si>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</si>
  <si>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</si>
  <si>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</si>
  <si>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</si>
  <si>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</si>
  <si>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</si>
  <si>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</si>
  <si>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</si>
  <si>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</si>
  <si>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</si>
  <si>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</si>
  <si>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</si>
  <si>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</si>
  <si>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</si>
  <si>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</si>
  <si>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</si>
  <si>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</si>
  <si>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</si>
  <si>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</si>
  <si>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</si>
  <si>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</si>
  <si>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</si>
  <si>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</si>
  <si>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</si>
  <si>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</si>
  <si>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</si>
  <si>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</si>
  <si>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</si>
  <si>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</si>
  <si>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</si>
  <si>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</si>
  <si>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</si>
  <si>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</si>
  <si>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</si>
  <si>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</si>
  <si>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</si>
  <si>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</si>
  <si>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</si>
  <si>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</si>
  <si>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</si>
  <si>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</si>
  <si>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</si>
  <si>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</si>
  <si>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</si>
  <si>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</si>
  <si>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</si>
  <si>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</si>
  <si>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</si>
  <si>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</si>
  <si>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</si>
  <si>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</si>
  <si>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</si>
  <si>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</si>
  <si>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</si>
  <si>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</si>
  <si>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</si>
  <si>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</si>
  <si>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</si>
  <si>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</si>
  <si>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</si>
  <si>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</si>
  <si>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</si>
  <si>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</si>
  <si>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</si>
  <si>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</si>
  <si>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</si>
  <si>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</si>
  <si>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</si>
  <si>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</si>
  <si>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</si>
  <si>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</si>
  <si>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</si>
  <si>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</si>
  <si>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</si>
  <si>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</si>
  <si>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</si>
  <si>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</si>
  <si>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</si>
  <si>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</si>
  <si>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</si>
  <si>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</si>
  <si>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</si>
  <si>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</si>
  <si>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</si>
  <si>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</si>
  <si>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</si>
  <si>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</si>
  <si>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</si>
  <si>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</si>
  <si>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</si>
  <si>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</si>
  <si>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</si>
  <si>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</si>
  <si>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</si>
  <si>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</si>
  <si>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</si>
  <si>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</si>
  <si>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</si>
  <si>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</si>
  <si>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</si>
  <si>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</si>
  <si>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</si>
  <si>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</si>
  <si>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</si>
  <si>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</si>
  <si>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</si>
  <si>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</si>
  <si>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</si>
  <si>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</si>
  <si>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</si>
  <si>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</si>
  <si>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</si>
  <si>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</si>
  <si>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</si>
  <si>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</si>
  <si>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</si>
  <si>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</si>
  <si>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</si>
  <si>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</si>
  <si>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</si>
  <si>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</si>
  <si>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</si>
  <si>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</si>
  <si>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</si>
  <si>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</si>
  <si>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</si>
  <si>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</si>
  <si>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</si>
  <si>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</si>
  <si>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</si>
  <si>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</si>
  <si>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</si>
  <si>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</si>
  <si>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</si>
  <si>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</si>
  <si>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</si>
  <si>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</si>
  <si>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</si>
  <si>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</si>
  <si>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</si>
  <si>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</si>
  <si>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</si>
  <si>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</si>
  <si>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</si>
  <si>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</si>
  <si>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</si>
  <si>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</si>
  <si>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</si>
  <si>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</si>
  <si>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</si>
  <si>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</si>
  <si>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</si>
  <si>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</si>
  <si>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</si>
  <si>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</si>
  <si>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</si>
  <si>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</si>
  <si>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</si>
  <si>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</si>
  <si>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</si>
  <si>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</si>
  <si>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</si>
  <si>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</si>
  <si>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</si>
  <si>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</si>
  <si>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</si>
  <si>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</si>
  <si>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</si>
  <si>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</si>
  <si>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</si>
  <si>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</si>
  <si>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</si>
  <si>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</si>
  <si>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</si>
  <si>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</si>
  <si>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</si>
  <si>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</si>
  <si>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</si>
  <si>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</si>
  <si>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</si>
  <si>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</si>
  <si>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</si>
  <si>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</si>
  <si>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</si>
  <si>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</si>
  <si>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</si>
  <si>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</si>
  <si>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</si>
  <si>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</si>
  <si>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</si>
  <si>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</si>
  <si>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</si>
  <si>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</si>
  <si>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</si>
  <si>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</si>
  <si>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</si>
  <si>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</si>
  <si>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</si>
  <si>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</si>
  <si>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</si>
  <si>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</si>
  <si>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</si>
  <si>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</si>
  <si>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</si>
  <si>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</si>
  <si>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</si>
  <si>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</si>
  <si>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</si>
  <si>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</si>
  <si>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</si>
  <si>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</si>
  <si>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</si>
  <si>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</si>
  <si>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</si>
  <si>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</si>
  <si>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</si>
  <si>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</si>
  <si>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</si>
  <si>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</si>
  <si>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</si>
  <si>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</si>
  <si>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</si>
  <si>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</si>
  <si>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</si>
  <si>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</si>
  <si>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</si>
  <si>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</si>
  <si>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</si>
  <si>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</si>
  <si>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</si>
  <si>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</si>
  <si>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</si>
  <si>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</si>
  <si>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</si>
  <si>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</si>
  <si>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</si>
  <si>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</si>
  <si>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</si>
  <si>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</si>
  <si>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</si>
  <si>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</si>
  <si>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</si>
  <si>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</si>
  <si>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</si>
  <si>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</si>
  <si>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</si>
  <si>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</si>
  <si>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</si>
  <si>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</si>
  <si>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</si>
  <si>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</si>
  <si>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</si>
  <si>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</si>
  <si>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</si>
  <si>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</si>
  <si>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</si>
  <si>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</si>
  <si>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</si>
  <si>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</si>
  <si>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</si>
  <si>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</si>
  <si>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</si>
  <si>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</si>
  <si>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</si>
  <si>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</si>
  <si>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</si>
  <si>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</si>
  <si>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</si>
  <si>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</si>
  <si>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</si>
  <si>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</si>
  <si>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</si>
  <si>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</si>
  <si>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</si>
  <si>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</si>
  <si>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</si>
  <si>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</si>
  <si>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</si>
  <si>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</si>
  <si>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</si>
  <si>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</si>
  <si>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</si>
  <si>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</si>
  <si>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</si>
  <si>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</si>
  <si>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</si>
  <si>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</si>
  <si>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</si>
  <si>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</si>
  <si>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</si>
  <si>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</si>
  <si>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</si>
  <si>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</si>
  <si>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</si>
  <si>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</si>
  <si>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</si>
  <si>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</si>
  <si>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</si>
  <si>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</si>
  <si>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</si>
  <si>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</si>
  <si>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</si>
  <si>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</si>
  <si>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</si>
  <si>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</si>
  <si>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</si>
  <si>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</si>
  <si>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</si>
  <si>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</si>
  <si>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</si>
  <si>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</si>
  <si>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</si>
  <si>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</si>
  <si>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</si>
  <si>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</si>
  <si>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</si>
  <si>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</si>
  <si>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</si>
  <si>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</si>
  <si>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</si>
  <si>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</si>
  <si>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</si>
  <si>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</si>
  <si>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</si>
  <si>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</si>
  <si>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</si>
  <si>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</si>
  <si>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</si>
  <si>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</si>
  <si>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</si>
  <si>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</si>
  <si>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</si>
  <si>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</si>
  <si>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</si>
  <si>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</si>
  <si>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</si>
  <si>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</si>
  <si>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</si>
  <si>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</si>
  <si>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</si>
  <si>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</si>
  <si>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</si>
  <si>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</si>
  <si>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</si>
  <si>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</si>
  <si>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</si>
  <si>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</si>
  <si>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</si>
  <si>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</si>
  <si>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</si>
  <si>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</si>
  <si>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</si>
  <si>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</si>
  <si>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</si>
  <si>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</si>
  <si>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</si>
  <si>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</si>
  <si>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</si>
  <si>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</si>
  <si>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</si>
  <si>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</si>
  <si>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</si>
  <si>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</si>
  <si>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</si>
  <si>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</si>
  <si>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</si>
  <si>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</si>
  <si>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</si>
  <si>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</si>
  <si>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</si>
  <si>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</si>
  <si>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</si>
  <si>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</si>
  <si>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</si>
  <si>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</si>
  <si>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</si>
  <si>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</si>
  <si>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</si>
  <si>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</si>
  <si>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</si>
  <si>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</si>
  <si>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</si>
  <si>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</si>
  <si>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</si>
  <si>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</si>
  <si>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</si>
  <si>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</si>
  <si>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</si>
  <si>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</si>
  <si>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</si>
  <si>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</si>
  <si>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</si>
  <si>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</si>
  <si>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</si>
  <si>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</si>
  <si>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</si>
  <si>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</si>
  <si>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</si>
  <si>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</si>
  <si>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</si>
  <si>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</si>
  <si>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</si>
  <si>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</si>
  <si>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</si>
  <si>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</si>
  <si>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</si>
  <si>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</si>
  <si>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</si>
  <si>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</si>
  <si>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</si>
  <si>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</si>
  <si>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</si>
  <si>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</si>
  <si>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</si>
  <si>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</si>
  <si>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</si>
  <si>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</si>
  <si>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</si>
  <si>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</si>
  <si>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</si>
  <si>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</si>
  <si>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</si>
  <si>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</si>
  <si>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</si>
  <si>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</si>
  <si>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</si>
  <si>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</si>
  <si>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</si>
  <si>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</si>
  <si>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</si>
  <si>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</si>
  <si>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</si>
  <si>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</si>
  <si>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</si>
  <si>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</si>
  <si>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</si>
  <si>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</si>
  <si>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</si>
  <si>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</si>
  <si>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</si>
  <si>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</si>
  <si>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</si>
  <si>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</si>
  <si>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</si>
  <si>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</si>
  <si>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</si>
  <si>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</si>
  <si>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</si>
  <si>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</si>
  <si>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</si>
  <si>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</si>
  <si>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</si>
  <si>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</si>
  <si>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</si>
  <si>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</si>
  <si>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</si>
  <si>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</si>
  <si>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</si>
  <si>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</si>
  <si>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</si>
  <si>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</si>
  <si>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</si>
  <si>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</si>
  <si>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</si>
  <si>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</si>
  <si>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</si>
  <si>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</si>
  <si>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</si>
  <si>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</si>
  <si>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</si>
  <si>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</si>
  <si>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</si>
  <si>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</si>
  <si>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</si>
  <si>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</si>
  <si>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</si>
  <si>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</si>
  <si>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</si>
  <si>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</si>
  <si>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</si>
  <si>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</si>
  <si>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</si>
  <si>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</si>
  <si>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</si>
  <si>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</si>
  <si>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</si>
  <si>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</si>
  <si>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</si>
  <si>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</si>
  <si>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</si>
  <si>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</si>
  <si>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</si>
  <si>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</si>
  <si>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</si>
  <si>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</si>
  <si>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</si>
  <si>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</si>
  <si>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</si>
  <si>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</si>
  <si>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</si>
  <si>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</si>
  <si>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</si>
  <si>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</si>
  <si>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</si>
  <si>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</si>
  <si>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</si>
  <si>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</si>
  <si>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</si>
  <si>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</si>
  <si>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</si>
  <si>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</si>
  <si>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</si>
  <si>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</si>
  <si>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</si>
  <si>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</si>
  <si>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</si>
  <si>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</si>
  <si>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</si>
  <si>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</si>
  <si>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</si>
  <si>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</si>
  <si>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</si>
  <si>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</si>
  <si>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</si>
  <si>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</si>
  <si>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</si>
  <si>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</si>
  <si>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</si>
  <si>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</si>
  <si>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</si>
  <si>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</si>
  <si>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</si>
  <si>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</si>
  <si>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</si>
  <si>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</si>
  <si>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</si>
  <si>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</si>
  <si>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</si>
  <si>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</si>
  <si>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</si>
  <si>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</si>
  <si>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</si>
  <si>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</si>
  <si>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</si>
  <si>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</si>
  <si>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</si>
  <si>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</si>
  <si>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</si>
  <si>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</si>
  <si>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</si>
  <si>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</si>
  <si>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</si>
  <si>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</si>
  <si>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</si>
  <si>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</si>
  <si>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</si>
  <si>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</si>
  <si>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</si>
  <si>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</si>
  <si>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</si>
  <si>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</si>
  <si>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</si>
  <si>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</si>
  <si>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</si>
  <si>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</si>
  <si>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</si>
  <si>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</si>
  <si>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</si>
  <si>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</si>
  <si>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</si>
  <si>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</si>
  <si>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</si>
  <si>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</si>
  <si>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</si>
  <si>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</si>
  <si>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</si>
  <si>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</si>
  <si>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</si>
  <si>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</si>
  <si>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</si>
  <si>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</si>
  <si>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</si>
  <si>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</si>
  <si>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</si>
  <si>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</si>
  <si>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</si>
  <si>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</si>
  <si>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</si>
  <si>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</si>
  <si>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</si>
  <si>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</si>
  <si>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</si>
  <si>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</si>
  <si>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</si>
  <si>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</si>
  <si>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</si>
  <si>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</si>
  <si>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</si>
  <si>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</si>
  <si>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</si>
  <si>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</si>
  <si>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</si>
  <si>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</si>
  <si>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</si>
  <si>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</si>
  <si>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</si>
  <si>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</si>
  <si>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</si>
  <si>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</si>
  <si>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</si>
  <si>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</si>
  <si>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</si>
  <si>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</si>
  <si>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</si>
  <si>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</si>
  <si>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</si>
  <si>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</si>
  <si>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</si>
  <si>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</si>
  <si>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</si>
  <si>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</si>
  <si>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</si>
  <si>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</si>
  <si>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</si>
  <si>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</si>
  <si>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</si>
  <si>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</si>
  <si>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</si>
  <si>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</si>
  <si>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</si>
  <si>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</si>
  <si>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</si>
  <si>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</si>
  <si>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</si>
  <si>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</si>
  <si>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</si>
  <si>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</si>
  <si>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</si>
  <si>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</si>
  <si>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</si>
  <si>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</si>
  <si>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</si>
  <si>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</si>
  <si>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</si>
  <si>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</si>
  <si>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</si>
  <si>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</si>
  <si>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</si>
  <si>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</si>
  <si>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</si>
  <si>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</si>
  <si>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</si>
  <si>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</si>
  <si>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</si>
  <si>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</si>
  <si>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</si>
  <si>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</si>
  <si>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</si>
  <si>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</si>
  <si>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</si>
  <si>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</si>
  <si>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</si>
  <si>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</si>
  <si>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</si>
  <si>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</si>
  <si>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</si>
  <si>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</si>
  <si>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</si>
  <si>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</si>
  <si>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</si>
  <si>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</si>
  <si>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</si>
  <si>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</si>
  <si>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</si>
  <si>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</si>
  <si>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</si>
  <si>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</si>
  <si>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</si>
  <si>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</si>
  <si>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</si>
  <si>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</si>
  <si>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</si>
  <si>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</si>
  <si>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</si>
  <si>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</si>
  <si>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</si>
  <si>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</si>
  <si>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</si>
  <si>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</si>
  <si>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</si>
  <si>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</si>
  <si>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</si>
  <si>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</si>
  <si>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</si>
  <si>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</si>
  <si>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</si>
  <si>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</si>
  <si>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</si>
  <si>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</si>
  <si>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</si>
  <si>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</si>
  <si>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</si>
  <si>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</si>
  <si>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</si>
  <si>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</si>
  <si>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</si>
  <si>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</si>
  <si>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</si>
  <si>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</si>
  <si>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</si>
  <si>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</si>
  <si>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</si>
  <si>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</si>
  <si>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</si>
  <si>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</si>
  <si>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</si>
  <si>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</si>
  <si>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</si>
  <si>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</si>
  <si>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</si>
  <si>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</si>
  <si>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</si>
  <si>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</si>
  <si>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</si>
  <si>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</si>
  <si>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</si>
  <si>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</si>
  <si>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</si>
  <si>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</si>
  <si>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</si>
  <si>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</si>
  <si>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</si>
  <si>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</si>
  <si>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</si>
  <si>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</si>
  <si>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</si>
  <si>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</si>
  <si>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</si>
  <si>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</si>
  <si>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</si>
  <si>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</si>
  <si>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</si>
  <si>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</si>
  <si>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</si>
  <si>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</si>
  <si>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</si>
  <si>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</si>
  <si>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</si>
  <si>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</si>
  <si>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</si>
  <si>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</si>
  <si>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</si>
  <si>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</si>
  <si>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</si>
  <si>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</si>
  <si>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</si>
  <si>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</si>
  <si>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</si>
  <si>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</si>
  <si>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</si>
  <si>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</si>
  <si>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</si>
  <si>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</si>
  <si>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</si>
  <si>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</si>
  <si>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</si>
  <si>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</si>
  <si>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</si>
  <si>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</si>
  <si>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</si>
  <si>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</si>
  <si>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</si>
  <si>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</si>
  <si>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</si>
  <si>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</si>
  <si>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</si>
  <si>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</si>
  <si>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</si>
  <si>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</si>
  <si>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</si>
  <si>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</si>
  <si>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</si>
  <si>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</si>
  <si>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</si>
  <si>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</si>
  <si>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</si>
  <si>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</si>
  <si>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</si>
  <si>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</si>
  <si>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</si>
  <si>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</si>
  <si>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</si>
  <si>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</si>
  <si>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</si>
  <si>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</si>
  <si>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</si>
  <si>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</si>
  <si>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</si>
  <si>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</si>
  <si>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</si>
  <si>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</si>
  <si>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</si>
  <si>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</si>
  <si>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</si>
  <si>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</si>
  <si>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</si>
  <si>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</si>
  <si>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</si>
  <si>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</si>
  <si>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</si>
  <si>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</si>
  <si>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</si>
  <si>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</si>
  <si>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</si>
  <si>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</si>
  <si>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</si>
  <si>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</si>
  <si>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</si>
  <si>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</si>
  <si>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</si>
  <si>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</si>
  <si>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</si>
  <si>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</si>
  <si>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</si>
  <si>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</si>
  <si>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</si>
  <si>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</si>
  <si>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</si>
  <si>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</si>
  <si>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</si>
  <si>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</si>
  <si>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</si>
  <si>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</si>
  <si>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</si>
  <si>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</si>
  <si>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</si>
  <si>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</si>
  <si>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</si>
  <si>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</si>
  <si>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</si>
  <si>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</si>
  <si>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</si>
  <si>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</si>
  <si>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</si>
  <si>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</si>
  <si>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</si>
  <si>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</si>
  <si>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</si>
  <si>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</si>
  <si>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</si>
  <si>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</si>
  <si>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</si>
  <si>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</si>
  <si>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</si>
  <si>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</si>
  <si>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</si>
  <si>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</si>
  <si>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</si>
  <si>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</si>
  <si>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</si>
  <si>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</si>
  <si>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</si>
  <si>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</si>
  <si>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</si>
  <si>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</si>
  <si>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</si>
  <si>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</si>
  <si>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</si>
  <si>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</si>
  <si>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</si>
  <si>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</si>
  <si>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</si>
  <si>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</si>
  <si>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</si>
  <si>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</si>
  <si>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</si>
  <si>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</si>
  <si>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</si>
  <si>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</si>
  <si>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</si>
  <si>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</si>
  <si>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</si>
  <si>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</si>
  <si>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</si>
  <si>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</si>
  <si>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</si>
  <si>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</si>
  <si>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</si>
  <si>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</si>
  <si>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</si>
  <si>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</si>
  <si>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</si>
  <si>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</si>
  <si>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</si>
  <si>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</si>
  <si>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</si>
  <si>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</si>
  <si>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</si>
  <si>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</si>
  <si>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</si>
  <si>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</si>
  <si>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</si>
  <si>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</si>
  <si>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</si>
  <si>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</si>
  <si>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</si>
  <si>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</si>
  <si>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</si>
  <si>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</si>
  <si>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</si>
  <si>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</si>
  <si>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</si>
  <si>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</si>
  <si>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</si>
  <si>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</si>
  <si>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</si>
  <si>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</si>
  <si>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</si>
  <si>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</si>
  <si>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</si>
  <si>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</si>
  <si>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</si>
  <si>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</si>
  <si>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</si>
  <si>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</si>
  <si>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</si>
  <si>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</si>
  <si>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</si>
  <si>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</si>
  <si>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</si>
  <si>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</si>
  <si>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</si>
  <si>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</si>
  <si>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</si>
  <si>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</si>
  <si>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</si>
  <si>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</si>
  <si>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</si>
  <si>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</si>
  <si>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</si>
  <si>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</si>
  <si>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</si>
  <si>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</si>
  <si>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</si>
  <si>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</si>
  <si>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</si>
  <si>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</si>
  <si>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</si>
  <si>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</si>
  <si>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</si>
  <si>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</si>
  <si>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</si>
  <si>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</si>
  <si>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</si>
  <si>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</si>
  <si>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</si>
  <si>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</si>
  <si>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</si>
  <si>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</si>
  <si>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</si>
  <si>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</si>
  <si>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</si>
  <si>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</si>
  <si>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</si>
  <si>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</si>
  <si>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</si>
  <si>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</si>
  <si>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</si>
  <si>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</si>
  <si>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</si>
  <si>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</si>
  <si>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</si>
  <si>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</si>
  <si>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</si>
  <si>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</si>
  <si>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</si>
  <si>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</si>
  <si>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</si>
  <si>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</si>
  <si>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</si>
  <si>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</si>
  <si>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</si>
  <si>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</si>
  <si>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</si>
  <si>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</si>
  <si>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</si>
  <si>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</si>
  <si>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</si>
  <si>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</si>
  <si>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</si>
  <si>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</si>
  <si>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</si>
  <si>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</si>
  <si>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</si>
  <si>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</si>
  <si>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</si>
  <si>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</si>
  <si>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</si>
  <si>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</si>
  <si>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</si>
  <si>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</si>
  <si>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</si>
  <si>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</si>
  <si>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</si>
  <si>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</si>
  <si>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</si>
  <si>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</si>
  <si>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</si>
  <si>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</si>
  <si>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</si>
  <si>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</si>
  <si>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</si>
  <si>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</si>
  <si>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</si>
  <si>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</si>
  <si>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</si>
  <si>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</si>
  <si>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</si>
  <si>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</si>
  <si>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</si>
  <si>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</si>
  <si>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</si>
  <si>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</si>
  <si>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</si>
  <si>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</si>
  <si>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</si>
  <si>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</si>
  <si>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</si>
  <si>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</si>
  <si>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</si>
  <si>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</si>
  <si>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</si>
  <si>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</si>
  <si>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</si>
  <si>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</si>
  <si>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</si>
  <si>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</si>
  <si>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</si>
  <si>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</si>
  <si>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</si>
  <si>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</si>
  <si>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</si>
  <si>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</si>
  <si>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</si>
  <si>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</si>
  <si>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</si>
  <si>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</si>
  <si>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</si>
  <si>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</si>
  <si>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</si>
  <si>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</si>
  <si>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</si>
  <si>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</si>
  <si>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</si>
  <si>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</si>
  <si>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</si>
  <si>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</si>
  <si>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</si>
  <si>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</si>
  <si>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</si>
  <si>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</si>
  <si>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</si>
  <si>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</si>
  <si>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</si>
  <si>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</si>
  <si>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</si>
  <si>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</si>
  <si>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</si>
  <si>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</si>
  <si>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</si>
  <si>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</si>
  <si>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</si>
  <si>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</si>
  <si>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</si>
  <si>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</si>
  <si>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</si>
  <si>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</si>
  <si>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</si>
  <si>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</si>
  <si>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</si>
  <si>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</si>
  <si>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</si>
  <si>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</si>
  <si>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</si>
  <si>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</si>
  <si>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</si>
  <si>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</si>
  <si>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</si>
  <si>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</si>
  <si>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</si>
  <si>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</si>
  <si>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</si>
  <si>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</si>
  <si>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</si>
  <si>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</si>
  <si>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</si>
  <si>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</si>
  <si>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</si>
  <si>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</si>
  <si>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</si>
  <si>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</si>
  <si>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</si>
  <si>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</si>
  <si>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</si>
  <si>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</si>
  <si>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</si>
  <si>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</si>
  <si>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</si>
  <si>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</si>
  <si>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</si>
  <si>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</si>
  <si>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</si>
  <si>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</si>
  <si>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</si>
  <si>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</si>
  <si>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</si>
  <si>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</si>
  <si>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</si>
  <si>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</si>
  <si>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</si>
  <si>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</si>
  <si>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</si>
  <si>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</si>
  <si>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</si>
  <si>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</si>
  <si>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</si>
  <si>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</si>
  <si>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</si>
  <si>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</si>
  <si>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</si>
  <si>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</si>
  <si>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</si>
  <si>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</si>
  <si>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</si>
  <si>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</si>
  <si>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</si>
  <si>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</si>
  <si>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</si>
  <si>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</si>
  <si>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</si>
  <si>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</si>
  <si>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</si>
  <si>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</si>
  <si>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</si>
  <si>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</si>
  <si>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</si>
  <si>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</si>
  <si>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</si>
  <si>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</si>
  <si>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</si>
  <si>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</si>
  <si>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</si>
  <si>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</si>
  <si>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</si>
  <si>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</si>
  <si>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</si>
  <si>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</si>
  <si>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</si>
  <si>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</si>
  <si>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</si>
  <si>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</si>
  <si>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</si>
  <si>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</si>
  <si>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</si>
  <si>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</si>
  <si>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</si>
  <si>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</si>
  <si>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</si>
  <si>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</si>
  <si>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</si>
  <si>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</si>
  <si>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</si>
  <si>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</si>
  <si>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</si>
  <si>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</si>
  <si>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</si>
  <si>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</si>
  <si>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</si>
  <si>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</si>
  <si>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</si>
  <si>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</si>
  <si>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</si>
  <si>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</si>
  <si>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</si>
  <si>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</si>
  <si>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</si>
  <si>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</si>
  <si>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</si>
  <si>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</si>
  <si>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</si>
  <si>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</si>
  <si>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</si>
  <si>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</si>
  <si>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</si>
  <si>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</si>
  <si>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</si>
  <si>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</si>
  <si>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</si>
  <si>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</si>
  <si>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</si>
  <si>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</si>
  <si>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</si>
  <si>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</si>
  <si>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</si>
  <si>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</si>
  <si>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</si>
  <si>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</si>
  <si>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</si>
  <si>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</si>
  <si>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</si>
  <si>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</si>
  <si>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</si>
  <si>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</si>
  <si>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</si>
  <si>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</si>
  <si>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</si>
  <si>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</si>
  <si>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</si>
  <si>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</si>
  <si>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</si>
  <si>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</si>
  <si>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</si>
  <si>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</si>
  <si>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</si>
  <si>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</si>
  <si>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</si>
  <si>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</si>
  <si>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</si>
  <si>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</si>
  <si>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</si>
  <si>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</si>
  <si>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</si>
  <si>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</si>
  <si>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</si>
  <si>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</si>
  <si>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</si>
  <si>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</si>
  <si>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</si>
  <si>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</si>
  <si>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</si>
  <si>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</si>
  <si>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</si>
  <si>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</si>
  <si>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</si>
  <si>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</si>
  <si>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</si>
  <si>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</si>
  <si>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</si>
  <si>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</si>
  <si>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</si>
  <si>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</si>
  <si>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</si>
  <si>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</si>
  <si>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</si>
  <si>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</si>
  <si>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</si>
  <si>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</si>
  <si>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</si>
  <si>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</si>
  <si>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</si>
  <si>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</si>
  <si>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</si>
  <si>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</si>
  <si>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</si>
  <si>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</si>
  <si>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</si>
  <si>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</si>
  <si>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</si>
  <si>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</si>
  <si>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</si>
  <si>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</si>
  <si>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</si>
  <si>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</si>
  <si>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</si>
  <si>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</si>
  <si>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</si>
  <si>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</si>
  <si>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</si>
  <si>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</si>
  <si>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</si>
  <si>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</si>
  <si>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</si>
  <si>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</si>
  <si>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</si>
  <si>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</si>
  <si>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</si>
  <si>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</si>
  <si>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</si>
  <si>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</si>
  <si>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</si>
  <si>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</si>
  <si>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</si>
  <si>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</si>
  <si>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</si>
  <si>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</si>
  <si>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</si>
  <si>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</si>
  <si>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</si>
  <si>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</si>
  <si>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</si>
  <si>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</si>
  <si>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</si>
  <si>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</si>
  <si>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</si>
  <si>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</si>
  <si>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</si>
  <si>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</si>
  <si>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</si>
  <si>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</si>
  <si>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</si>
  <si>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</si>
  <si>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</si>
  <si>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</si>
  <si>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</si>
  <si>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</si>
  <si>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</si>
  <si>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</si>
  <si>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</si>
  <si>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</si>
  <si>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</si>
  <si>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</si>
  <si>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</si>
  <si>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</si>
  <si>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</si>
  <si>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</si>
  <si>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</si>
  <si>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</si>
  <si>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</si>
  <si>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</si>
  <si>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</si>
  <si>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</si>
  <si>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</si>
  <si>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</si>
  <si>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</si>
  <si>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</si>
  <si>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</si>
  <si>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</si>
  <si>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</si>
  <si>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</si>
  <si>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</si>
  <si>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</si>
  <si>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</si>
  <si>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</si>
  <si>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</si>
  <si>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</si>
  <si>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</si>
  <si>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</si>
  <si>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</si>
  <si>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</si>
  <si>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</si>
  <si>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</si>
  <si>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</si>
  <si>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</si>
  <si>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</si>
  <si>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</si>
  <si>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</si>
  <si>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</si>
  <si>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</si>
  <si>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</si>
  <si>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</si>
  <si>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</si>
  <si>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</si>
  <si>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</si>
  <si>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</si>
  <si>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</si>
  <si>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</si>
  <si>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</si>
  <si>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</si>
  <si>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</si>
  <si>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</si>
  <si>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</si>
  <si>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</si>
  <si>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</si>
  <si>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</si>
  <si>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</si>
  <si>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</si>
  <si>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</si>
  <si>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</si>
  <si>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</si>
  <si>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</si>
  <si>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</si>
  <si>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</si>
  <si>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</si>
  <si>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</si>
  <si>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</si>
  <si>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</si>
  <si>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</si>
  <si>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</si>
  <si>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</si>
  <si>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</si>
  <si>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</si>
  <si>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</si>
  <si>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</si>
  <si>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</si>
  <si>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</si>
  <si>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</si>
  <si>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</si>
  <si>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</si>
  <si>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</si>
  <si>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</si>
  <si>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</si>
  <si>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</si>
  <si>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</si>
  <si>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</si>
  <si>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</si>
  <si>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</si>
  <si>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</si>
  <si>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</si>
  <si>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</si>
  <si>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</si>
  <si>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</si>
  <si>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</si>
  <si>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</si>
  <si>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</si>
  <si>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</si>
  <si>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</si>
  <si>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</si>
  <si>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</si>
  <si>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</si>
  <si>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</si>
  <si>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</si>
  <si>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</si>
  <si>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</si>
  <si>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</si>
  <si>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</si>
  <si>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</si>
  <si>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</si>
  <si>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</si>
  <si>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</si>
  <si>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</si>
  <si>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</si>
  <si>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</si>
  <si>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</si>
  <si>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</si>
  <si>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</si>
  <si>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</si>
  <si>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</si>
  <si>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</si>
  <si>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</si>
  <si>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</si>
  <si>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</si>
  <si>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</si>
  <si>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</si>
  <si>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</si>
  <si>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</si>
  <si>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</si>
  <si>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</si>
  <si>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</si>
  <si>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</si>
  <si>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</si>
  <si>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</si>
  <si>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</si>
  <si>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</si>
  <si>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</si>
  <si>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</si>
  <si>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</si>
  <si>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</si>
  <si>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</si>
  <si>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</si>
  <si>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</si>
  <si>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</si>
  <si>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</si>
  <si>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</si>
  <si>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</si>
  <si>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</si>
  <si>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</si>
  <si>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</si>
  <si>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</si>
  <si>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</si>
  <si>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</si>
  <si>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</si>
  <si>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</si>
  <si>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</si>
  <si>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</si>
  <si>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</si>
  <si>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</si>
  <si>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</si>
  <si>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</si>
  <si>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</si>
  <si>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</si>
  <si>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</si>
  <si>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</si>
  <si>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</si>
  <si>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</si>
  <si>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</si>
  <si>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</si>
  <si>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</si>
  <si>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</si>
  <si>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</si>
  <si>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</si>
  <si>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</si>
  <si>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</si>
  <si>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</si>
  <si>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</si>
  <si>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</si>
  <si>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</si>
  <si>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</si>
  <si>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</si>
  <si>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</si>
  <si>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</si>
  <si>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</si>
  <si>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</si>
  <si>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</si>
  <si>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</si>
  <si>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</si>
  <si>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</si>
  <si>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</si>
  <si>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</si>
  <si>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</si>
  <si>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</si>
  <si>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</si>
  <si>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</si>
  <si>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</si>
  <si>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</si>
  <si>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</si>
  <si>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</si>
  <si>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</si>
  <si>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</si>
  <si>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</si>
  <si>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</si>
  <si>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</si>
  <si>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</si>
  <si>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</si>
  <si>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</si>
  <si>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</si>
  <si>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</si>
  <si>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</si>
  <si>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</si>
  <si>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</si>
  <si>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</si>
  <si>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</si>
  <si>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</si>
  <si>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</si>
  <si>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</si>
  <si>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</si>
  <si>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</si>
  <si>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</si>
  <si>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</si>
  <si>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</si>
  <si>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</si>
  <si>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</si>
  <si>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</si>
  <si>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</si>
  <si>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</si>
  <si>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</si>
  <si>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</si>
  <si>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</si>
  <si>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</si>
  <si>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</si>
  <si>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</si>
  <si>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</si>
  <si>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</si>
  <si>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</si>
  <si>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</si>
  <si>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</si>
  <si>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</si>
  <si>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</si>
  <si>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</si>
  <si>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</si>
  <si>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</si>
  <si>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</si>
  <si>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</si>
  <si>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</si>
  <si>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</si>
  <si>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</si>
  <si>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</si>
  <si>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</si>
  <si>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</si>
  <si>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</si>
  <si>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</si>
  <si>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</si>
  <si>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</si>
  <si>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</si>
  <si>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</si>
  <si>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</si>
  <si>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</si>
  <si>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</si>
  <si>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</si>
  <si>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</si>
  <si>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</si>
  <si>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</si>
  <si>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</si>
  <si>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</si>
  <si>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</si>
  <si>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</si>
  <si>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</si>
  <si>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</si>
  <si>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</si>
  <si>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</si>
  <si>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</si>
  <si>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</si>
  <si>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</si>
  <si>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</si>
  <si>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</si>
  <si>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</si>
  <si>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</si>
  <si>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</si>
  <si>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</si>
  <si>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</si>
  <si>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</si>
  <si>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</si>
  <si>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</si>
  <si>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</si>
  <si>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</si>
  <si>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</si>
  <si>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</si>
  <si>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</si>
  <si>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</si>
  <si>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</si>
  <si>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</si>
  <si>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</si>
  <si>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</si>
  <si>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</si>
  <si>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</si>
  <si>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</si>
  <si>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</si>
  <si>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</si>
  <si>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</si>
  <si>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</si>
  <si>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</si>
  <si>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</si>
  <si>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</si>
  <si>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</si>
  <si>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</si>
  <si>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</si>
  <si>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</si>
  <si>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</si>
  <si>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</si>
  <si>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</si>
  <si>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</si>
  <si>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</si>
  <si>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</si>
  <si>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</si>
  <si>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</si>
  <si>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</si>
  <si>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</si>
  <si>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</si>
  <si>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</si>
  <si>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</si>
  <si>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</si>
  <si>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</si>
  <si>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</si>
  <si>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</si>
  <si>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</si>
  <si>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</si>
  <si>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</si>
  <si>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</si>
  <si>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</si>
  <si>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</si>
  <si>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</si>
  <si>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</si>
  <si>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</si>
  <si>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</si>
  <si>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</si>
  <si>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</si>
  <si>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</si>
  <si>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</si>
  <si>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</si>
  <si>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</si>
  <si>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</si>
  <si>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</si>
  <si>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</si>
  <si>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</si>
  <si>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</si>
  <si>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</si>
  <si>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</si>
  <si>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</si>
  <si>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</si>
  <si>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</si>
  <si>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</si>
  <si>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</si>
  <si>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</si>
  <si>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</si>
  <si>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</si>
  <si>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</si>
  <si>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</si>
  <si>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</si>
  <si>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</si>
  <si>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</si>
  <si>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</si>
  <si>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</si>
  <si>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</si>
  <si>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</si>
  <si>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</si>
  <si>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</si>
  <si>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</si>
  <si>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</si>
  <si>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</si>
  <si>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</si>
  <si>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</si>
  <si>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</si>
  <si>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</si>
  <si>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</si>
  <si>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</si>
  <si>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</si>
  <si>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</si>
  <si>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</si>
  <si>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</si>
  <si>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</si>
  <si>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</si>
  <si>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</si>
  <si>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</si>
  <si>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</si>
  <si>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</si>
  <si>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</si>
  <si>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</si>
  <si>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</si>
  <si>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</si>
  <si>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</si>
  <si>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</si>
  <si>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</si>
  <si>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</si>
  <si>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</si>
  <si>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</si>
  <si>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</si>
  <si>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</si>
  <si>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</si>
  <si>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</si>
  <si>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</si>
  <si>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</si>
  <si>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</si>
  <si>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</si>
  <si>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</si>
  <si>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</si>
  <si>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</si>
  <si>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</si>
  <si>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</si>
  <si>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</si>
  <si>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</si>
  <si>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</si>
  <si>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</si>
  <si>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</si>
  <si>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</si>
  <si>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</si>
  <si>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</si>
  <si>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</si>
  <si>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</si>
  <si>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</si>
  <si>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</si>
  <si>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</si>
  <si>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</si>
  <si>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</si>
  <si>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</si>
  <si>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</si>
  <si>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</si>
  <si>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</si>
  <si>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</si>
  <si>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</si>
  <si>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</si>
  <si>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</si>
  <si>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</si>
  <si>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</si>
  <si>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</si>
  <si>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</si>
  <si>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</si>
  <si>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</si>
  <si>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</si>
  <si>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</si>
  <si>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</si>
  <si>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</si>
  <si>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</si>
  <si>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</si>
  <si>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</si>
  <si>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</si>
  <si>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</si>
  <si>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</si>
  <si>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</si>
  <si>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</si>
  <si>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</si>
  <si>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</si>
  <si>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</si>
  <si>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</si>
  <si>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</si>
  <si>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</si>
  <si>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</si>
  <si>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</si>
  <si>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</si>
  <si>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</si>
  <si>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</si>
  <si>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</si>
  <si>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</si>
  <si>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</si>
  <si>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</si>
  <si>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</si>
  <si>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</si>
  <si>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</si>
  <si>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</si>
  <si>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</si>
  <si>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</si>
  <si>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</si>
  <si>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</si>
  <si>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</si>
  <si>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</si>
  <si>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</si>
  <si>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</si>
  <si>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</si>
  <si>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</si>
  <si>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</si>
  <si>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</si>
  <si>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</si>
  <si>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</si>
  <si>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</si>
  <si>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</si>
  <si>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</si>
  <si>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</si>
  <si>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</si>
  <si>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</si>
  <si>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</si>
  <si>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</si>
  <si>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</si>
  <si>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</si>
  <si>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</si>
  <si>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</si>
  <si>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</si>
  <si>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</si>
  <si>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</si>
  <si>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</si>
  <si>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</si>
  <si>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</si>
  <si>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</si>
  <si>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</si>
  <si>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</si>
  <si>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</si>
  <si>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</si>
  <si>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</si>
  <si>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</si>
  <si>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</si>
  <si>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</si>
  <si>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</si>
  <si>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</si>
  <si>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</si>
  <si>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</si>
  <si>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</si>
  <si>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</si>
  <si>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</si>
  <si>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</si>
  <si>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</si>
  <si>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</si>
  <si>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</si>
  <si>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</si>
  <si>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</si>
  <si>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</si>
  <si>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</si>
  <si>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</si>
  <si>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</si>
  <si>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</si>
  <si>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</si>
  <si>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</si>
  <si>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</si>
  <si>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</si>
  <si>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</si>
  <si>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</si>
  <si>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</si>
  <si>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</si>
  <si>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</si>
  <si>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</si>
  <si>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</si>
  <si>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</si>
  <si>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</si>
  <si>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</si>
  <si>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</si>
  <si>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</si>
  <si>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</si>
  <si>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</si>
  <si>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</si>
  <si>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</si>
  <si>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</si>
  <si>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</si>
  <si>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</si>
  <si>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</si>
  <si>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</si>
  <si>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</si>
  <si>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</si>
  <si>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</si>
  <si>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</si>
  <si>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</si>
  <si>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</si>
  <si>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</si>
  <si>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</si>
  <si>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</si>
  <si>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</si>
  <si>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</si>
  <si>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</si>
  <si>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</si>
  <si>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</si>
  <si>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</si>
  <si>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</si>
  <si>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</si>
  <si>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</si>
  <si>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</si>
  <si>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</si>
  <si>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</si>
  <si>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</si>
  <si>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</si>
  <si>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</si>
  <si>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</si>
  <si>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</si>
  <si>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</si>
  <si>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</si>
  <si>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</si>
  <si>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</si>
  <si>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</si>
  <si>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</si>
  <si>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</si>
  <si>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</si>
  <si>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</si>
  <si>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</si>
  <si>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</si>
  <si>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</si>
  <si>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</si>
  <si>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</si>
  <si>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</si>
  <si>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</si>
  <si>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</si>
  <si>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</si>
  <si>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</si>
  <si>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</si>
  <si>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</si>
  <si>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</si>
  <si>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</si>
  <si>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</si>
  <si>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</si>
  <si>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</si>
  <si>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</si>
  <si>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</si>
  <si>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</si>
  <si>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</si>
  <si>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</si>
  <si>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</si>
  <si>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</si>
  <si>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</si>
  <si>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</si>
  <si>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</si>
  <si>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</si>
  <si>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</si>
  <si>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</si>
  <si>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</si>
  <si>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</si>
  <si>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</si>
  <si>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</si>
  <si>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</si>
  <si>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</si>
  <si>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</si>
  <si>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</si>
  <si>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</si>
  <si>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</si>
  <si>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</si>
  <si>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</si>
  <si>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</si>
  <si>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</si>
  <si>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</si>
  <si>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</si>
  <si>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</si>
  <si>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</si>
  <si>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</si>
  <si>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</si>
  <si>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</si>
  <si>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</si>
  <si>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</si>
  <si>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</si>
  <si>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</si>
  <si>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</si>
  <si>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</si>
  <si>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</si>
  <si>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</si>
  <si>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</si>
  <si>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</si>
  <si>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</si>
  <si>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</si>
  <si>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</si>
  <si>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</si>
  <si>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</si>
  <si>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</si>
  <si>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</si>
  <si>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</si>
  <si>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</si>
  <si>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</si>
  <si>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</si>
  <si>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</si>
  <si>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</si>
  <si>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</si>
  <si>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</si>
  <si>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</si>
  <si>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</si>
  <si>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</si>
  <si>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</si>
  <si>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</si>
  <si>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</si>
  <si>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</si>
  <si>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</si>
  <si>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</si>
  <si>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</si>
  <si>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</si>
  <si>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</si>
  <si>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</si>
  <si>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</si>
  <si>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</si>
  <si>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</si>
  <si>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</si>
  <si>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</si>
  <si>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</si>
  <si>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</si>
  <si>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</si>
  <si>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</si>
  <si>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</si>
  <si>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</si>
  <si>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</si>
  <si>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</si>
  <si>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</si>
  <si>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</si>
  <si>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</si>
  <si>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</si>
  <si>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</si>
  <si>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</si>
  <si>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</si>
  <si>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</si>
  <si>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</si>
  <si>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</si>
  <si>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</si>
  <si>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</si>
  <si>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</si>
  <si>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</si>
  <si>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</si>
  <si>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</si>
  <si>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</si>
  <si>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</si>
  <si>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</si>
  <si>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</si>
  <si>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</si>
  <si>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</si>
  <si>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</si>
  <si>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</si>
  <si>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</si>
  <si>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</si>
  <si>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</si>
  <si>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</si>
  <si>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</si>
  <si>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</si>
  <si>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</si>
  <si>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</si>
  <si>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</si>
  <si>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</si>
  <si>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</si>
  <si>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</si>
  <si>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</si>
  <si>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</si>
  <si>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</si>
  <si>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</si>
  <si>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</si>
  <si>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</si>
  <si>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</si>
  <si>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</si>
  <si>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</si>
  <si>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</si>
  <si>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</si>
  <si>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</si>
  <si>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</si>
  <si>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</si>
  <si>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</si>
  <si>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</si>
  <si>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</si>
  <si>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</si>
  <si>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</si>
  <si>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</si>
  <si>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</si>
  <si>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</si>
  <si>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</si>
  <si>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</si>
  <si>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</si>
  <si>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</si>
  <si>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</si>
  <si>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</si>
  <si>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</si>
  <si>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</si>
  <si>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</si>
  <si>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</si>
  <si>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</si>
  <si>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</si>
  <si>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</si>
  <si>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</si>
  <si>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</si>
  <si>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</si>
  <si>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</si>
  <si>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</si>
  <si>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</si>
  <si>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</si>
  <si>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</si>
  <si>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</si>
  <si>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</si>
  <si>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</si>
  <si>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</si>
  <si>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</si>
  <si>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</si>
  <si>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</si>
  <si>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</si>
  <si>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</si>
  <si>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</si>
  <si>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</si>
  <si>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</si>
  <si>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</si>
  <si>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</si>
  <si>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</si>
  <si>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</si>
  <si>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</si>
  <si>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</si>
  <si>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</si>
  <si>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</si>
  <si>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</si>
  <si>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</si>
  <si>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</si>
  <si>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</si>
  <si>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</si>
  <si>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</si>
  <si>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</si>
  <si>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</si>
  <si>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</si>
  <si>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</si>
  <si>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</si>
  <si>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</si>
  <si>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</si>
  <si>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</si>
  <si>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</si>
  <si>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</si>
  <si>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</si>
  <si>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</si>
  <si>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</si>
  <si>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</si>
  <si>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</si>
  <si>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</si>
  <si>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</si>
  <si>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</si>
  <si>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</si>
  <si>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</si>
  <si>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</si>
  <si>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</si>
  <si>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</si>
  <si>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</si>
  <si>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</si>
  <si>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</si>
  <si>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</si>
  <si>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</si>
  <si>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</si>
  <si>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</si>
  <si>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</si>
  <si>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</si>
  <si>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</si>
  <si>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</si>
  <si>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</si>
  <si>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</si>
  <si>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</si>
  <si>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</si>
  <si>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</si>
  <si>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</si>
  <si>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</si>
  <si>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</si>
  <si>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</si>
  <si>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</si>
  <si>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</si>
  <si>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</si>
  <si>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</si>
  <si>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</si>
  <si>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</si>
  <si>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</si>
  <si>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</si>
  <si>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</si>
  <si>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</si>
  <si>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</si>
  <si>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</si>
  <si>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</si>
  <si>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</si>
  <si>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</si>
  <si>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</si>
  <si>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</si>
  <si>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</si>
  <si>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</si>
  <si>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</si>
  <si>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</si>
  <si>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</si>
  <si>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</si>
  <si>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</si>
  <si>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</si>
  <si>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</si>
  <si>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</si>
  <si>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</si>
  <si>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</si>
  <si>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</si>
  <si>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</si>
  <si>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</si>
  <si>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</si>
  <si>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</si>
  <si>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</si>
  <si>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</si>
  <si>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</si>
  <si>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</si>
  <si>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</si>
  <si>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</si>
  <si>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</si>
  <si>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</si>
  <si>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</si>
  <si>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</si>
  <si>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</si>
  <si>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</si>
  <si>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</si>
  <si>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</si>
  <si>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</si>
  <si>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</si>
  <si>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</si>
  <si>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</si>
  <si>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</si>
  <si>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</si>
  <si>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</si>
  <si>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</si>
  <si>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</si>
  <si>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</si>
  <si>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</si>
  <si>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</si>
  <si>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</si>
  <si>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</si>
  <si>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</si>
  <si>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</si>
  <si>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</si>
  <si>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</si>
  <si>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</si>
  <si>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</si>
  <si>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</si>
  <si>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</si>
  <si>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</si>
  <si>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</si>
  <si>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</si>
  <si>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</si>
  <si>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</si>
  <si>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</si>
  <si>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</si>
  <si>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</si>
  <si>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</si>
  <si>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</si>
  <si>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</si>
  <si>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</si>
  <si>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</si>
  <si>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</si>
  <si>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</si>
  <si>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</si>
  <si>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</si>
  <si>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</si>
  <si>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</si>
  <si>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</si>
  <si>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</si>
  <si>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</si>
  <si>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</si>
  <si>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</si>
  <si>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</si>
  <si>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</si>
  <si>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</si>
  <si>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</si>
  <si>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</si>
  <si>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</si>
  <si>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</si>
  <si>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</si>
  <si>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</si>
  <si>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</si>
  <si>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</si>
  <si>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</si>
  <si>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</si>
  <si>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</si>
  <si>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</si>
  <si>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</si>
  <si>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</si>
  <si>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</si>
  <si>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</si>
  <si>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</si>
  <si>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</si>
  <si>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</si>
  <si>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</si>
  <si>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</si>
  <si>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</si>
  <si>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</si>
  <si>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</si>
  <si>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</si>
  <si>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</si>
  <si>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</si>
  <si>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</si>
  <si>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</si>
  <si>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</si>
  <si>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</si>
  <si>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</si>
  <si>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</si>
  <si>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</si>
  <si>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</si>
  <si>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</si>
  <si>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</si>
  <si>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</si>
  <si>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</si>
  <si>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</si>
  <si>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</si>
  <si>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</si>
  <si>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</si>
  <si>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</si>
  <si>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</si>
  <si>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</si>
  <si>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</si>
  <si>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</si>
  <si>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</si>
  <si>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</si>
  <si>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</si>
  <si>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</si>
  <si>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</si>
  <si>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</si>
  <si>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</si>
  <si>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</si>
  <si>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</si>
  <si>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</si>
  <si>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</si>
  <si>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</si>
  <si>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</si>
  <si>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</si>
  <si>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</si>
  <si>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</si>
  <si>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</si>
  <si>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</si>
  <si>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</si>
  <si>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</si>
  <si>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</si>
  <si>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</si>
  <si>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</si>
  <si>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</si>
  <si>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</si>
  <si>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</si>
  <si>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</si>
  <si>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</si>
  <si>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</si>
  <si>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</si>
  <si>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</si>
  <si>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</si>
  <si>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</si>
  <si>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</si>
  <si>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</si>
  <si>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</si>
  <si>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</si>
  <si>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</si>
  <si>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</si>
  <si>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</si>
  <si>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</si>
  <si>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</si>
  <si>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</si>
  <si>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</si>
  <si>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</si>
  <si>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</si>
  <si>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</si>
  <si>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</si>
  <si>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</si>
  <si>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</si>
  <si>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</si>
  <si>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</si>
  <si>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</si>
  <si>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</si>
  <si>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</si>
  <si>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</si>
  <si>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</si>
  <si>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</si>
  <si>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</si>
  <si>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</si>
  <si>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</si>
  <si>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</si>
  <si>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</si>
  <si>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</si>
  <si>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</si>
  <si>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</si>
  <si>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</si>
  <si>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</si>
  <si>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</si>
  <si>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</si>
  <si>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</si>
  <si>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</si>
  <si>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</si>
  <si>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</si>
  <si>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</si>
  <si>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</si>
  <si>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</si>
  <si>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</si>
  <si>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</si>
  <si>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</si>
  <si>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</si>
  <si>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</si>
  <si>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</si>
  <si>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</si>
  <si>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</si>
  <si>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</si>
  <si>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</si>
  <si>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</si>
  <si>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</si>
  <si>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</si>
  <si>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</si>
  <si>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</si>
  <si>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</si>
  <si>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</si>
  <si>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</si>
  <si>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</si>
  <si>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</si>
  <si>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</si>
  <si>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</si>
  <si>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</si>
  <si>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</si>
  <si>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</si>
  <si>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</si>
  <si>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</si>
  <si>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</si>
  <si>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</si>
  <si>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</si>
  <si>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</si>
  <si>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</si>
  <si>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</si>
  <si>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</si>
  <si>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</si>
  <si>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</si>
  <si>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</si>
  <si>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</si>
  <si>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</si>
  <si>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</si>
  <si>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</si>
  <si>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</si>
  <si>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</si>
  <si>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</si>
  <si>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</si>
  <si>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</si>
  <si>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</si>
  <si>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</si>
  <si>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</si>
  <si>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</si>
  <si>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</si>
  <si>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</si>
  <si>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</si>
  <si>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</si>
  <si>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</si>
  <si>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</si>
  <si>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</si>
  <si>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</si>
  <si>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</si>
  <si>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</si>
  <si>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</si>
  <si>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</si>
  <si>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</si>
  <si>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</si>
  <si>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</si>
  <si>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</si>
  <si>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</si>
  <si>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</si>
  <si>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</si>
  <si>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</si>
  <si>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</si>
  <si>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</si>
  <si>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</si>
  <si>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</si>
  <si>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</si>
  <si>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</si>
  <si>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</si>
  <si>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</si>
  <si>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</si>
  <si>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</si>
  <si>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</si>
  <si>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</si>
  <si>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</si>
  <si>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</si>
  <si>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</si>
  <si>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</si>
  <si>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</si>
  <si>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</si>
  <si>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</si>
  <si>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</si>
  <si>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</si>
  <si>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</si>
  <si>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</si>
  <si>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</si>
  <si>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</si>
  <si>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</si>
  <si>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</si>
  <si>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</si>
  <si>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</si>
  <si>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</si>
  <si>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</si>
  <si>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</si>
  <si>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</si>
  <si>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</si>
  <si>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</si>
  <si>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</si>
  <si>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</si>
  <si>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</si>
  <si>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</si>
  <si>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</si>
  <si>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</si>
  <si>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</si>
  <si>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</si>
  <si>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</si>
  <si>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</si>
  <si>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</si>
  <si>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</si>
  <si>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</si>
  <si>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</si>
  <si>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</si>
  <si>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</si>
  <si>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</si>
  <si>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</si>
  <si>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</si>
  <si>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</si>
  <si>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</si>
  <si>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</si>
  <si>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</si>
  <si>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</si>
  <si>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</si>
  <si>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</si>
  <si>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</si>
  <si>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</si>
  <si>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</si>
  <si>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</si>
  <si>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</si>
  <si>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</si>
  <si>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</si>
  <si>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</si>
  <si>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</si>
  <si>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</si>
  <si>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</si>
  <si>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</si>
  <si>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</si>
  <si>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</si>
  <si>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</si>
  <si>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</si>
  <si>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</si>
  <si>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</si>
  <si>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</si>
  <si>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</si>
  <si>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</si>
  <si>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</si>
  <si>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</si>
  <si>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</si>
  <si>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</si>
  <si>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</si>
  <si>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</si>
  <si>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</si>
  <si>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</si>
  <si>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</si>
  <si>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</si>
  <si>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</si>
  <si>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</si>
  <si>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</si>
  <si>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</si>
  <si>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</si>
  <si>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</si>
  <si>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</si>
  <si>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</si>
  <si>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</si>
  <si>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</si>
  <si>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</si>
  <si>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</si>
  <si>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</si>
  <si>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</si>
  <si>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</si>
  <si>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</si>
  <si>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</si>
  <si>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</si>
  <si>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</si>
  <si>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</si>
  <si>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</si>
  <si>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</si>
  <si>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</si>
  <si>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</si>
  <si>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</si>
  <si>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</si>
  <si>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</si>
  <si>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</si>
  <si>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</si>
  <si>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</si>
  <si>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</si>
  <si>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</si>
  <si>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</si>
  <si>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</si>
  <si>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</si>
  <si>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</si>
  <si>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</si>
  <si>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</si>
  <si>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</si>
  <si>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</si>
  <si>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</si>
  <si>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</si>
  <si>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</si>
  <si>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</si>
  <si>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</si>
  <si>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</si>
  <si>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</si>
  <si>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</si>
  <si>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</si>
  <si>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</si>
  <si>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</si>
  <si>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</si>
  <si>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</si>
  <si>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</si>
  <si>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</si>
  <si>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</si>
  <si>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</si>
  <si>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</si>
  <si>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</si>
  <si>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</si>
  <si>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</si>
  <si>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</si>
  <si>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</si>
  <si>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</si>
  <si>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</si>
  <si>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</si>
  <si>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</si>
  <si>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</si>
  <si>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</si>
  <si>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</si>
  <si>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</si>
  <si>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</si>
  <si>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</si>
  <si>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</si>
  <si>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</si>
  <si>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</si>
  <si>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</si>
  <si>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</si>
  <si>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</si>
  <si>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</si>
  <si>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</si>
  <si>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</si>
  <si>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</si>
  <si>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</si>
  <si>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</si>
  <si>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</si>
  <si>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</si>
  <si>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</si>
  <si>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</si>
  <si>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</si>
  <si>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</si>
  <si>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</si>
  <si>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</si>
  <si>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</si>
  <si>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</si>
  <si>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</si>
  <si>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</si>
  <si>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</si>
  <si>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</si>
  <si>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</si>
  <si>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</si>
  <si>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</si>
  <si>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</si>
  <si>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</si>
  <si>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</si>
  <si>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</si>
  <si>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</si>
  <si>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</si>
  <si>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</si>
  <si>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</si>
  <si>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</si>
  <si>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</si>
  <si>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</si>
  <si>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</si>
  <si>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</si>
  <si>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</si>
  <si>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</si>
  <si>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</si>
  <si>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</si>
  <si>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</si>
  <si>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</si>
  <si>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</si>
  <si>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</si>
  <si>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</si>
  <si>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</si>
  <si>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</si>
  <si>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</si>
  <si>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</si>
  <si>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</si>
  <si>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</si>
  <si>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</si>
  <si>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</si>
  <si>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</si>
  <si>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</si>
  <si>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</si>
  <si>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</si>
  <si>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</si>
  <si>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</si>
  <si>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</si>
  <si>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</si>
  <si>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</si>
  <si>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</si>
  <si>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</si>
  <si>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</si>
  <si>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</si>
  <si>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</si>
  <si>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</si>
  <si>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</si>
  <si>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</si>
  <si>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</si>
  <si>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</si>
  <si>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</si>
  <si>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</si>
  <si>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</si>
  <si>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</si>
  <si>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</si>
  <si>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</si>
  <si>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</si>
  <si>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</si>
  <si>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</si>
  <si>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</si>
  <si>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</si>
  <si>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</si>
  <si>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</si>
  <si>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</si>
  <si>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</si>
  <si>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</si>
  <si>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</si>
  <si>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</si>
  <si>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</si>
  <si>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</si>
  <si>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</si>
  <si>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</si>
  <si>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</si>
  <si>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</si>
  <si>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</si>
  <si>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</si>
  <si>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</si>
  <si>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</si>
  <si>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</si>
  <si>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</si>
  <si>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</si>
  <si>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</si>
  <si>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</si>
  <si>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</si>
  <si>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</si>
  <si>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</si>
  <si>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</si>
  <si>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</si>
  <si>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</si>
  <si>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</si>
  <si>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</si>
  <si>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</si>
  <si>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</si>
  <si>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</si>
  <si>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</si>
  <si>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</si>
  <si>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</si>
  <si>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</si>
  <si>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</si>
  <si>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</si>
  <si>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</si>
  <si>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</si>
  <si>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</si>
  <si>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</si>
  <si>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</si>
  <si>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</si>
  <si>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</si>
  <si>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</si>
  <si>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</si>
  <si>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</si>
  <si>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</si>
  <si>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</si>
  <si>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</si>
  <si>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</si>
  <si>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</si>
  <si>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</si>
  <si>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</si>
  <si>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</si>
  <si>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</si>
  <si>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</si>
  <si>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</si>
  <si>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</si>
  <si>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</si>
  <si>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</si>
  <si>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</si>
  <si>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</si>
  <si>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</si>
  <si>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</si>
  <si>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</si>
  <si>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</si>
  <si>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</si>
  <si>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</si>
  <si>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</si>
  <si>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</si>
  <si>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</si>
  <si>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</si>
  <si>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</si>
  <si>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</si>
  <si>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</si>
  <si>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</si>
  <si>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</si>
  <si>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</si>
  <si>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</si>
  <si>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</si>
  <si>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</si>
  <si>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</si>
  <si>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</si>
  <si>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</si>
  <si>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</si>
  <si>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</si>
  <si>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</si>
  <si>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</si>
  <si>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</si>
  <si>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</si>
  <si>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</si>
  <si>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</si>
  <si>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</si>
  <si>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</si>
  <si>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</si>
  <si>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</si>
  <si>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</si>
  <si>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</si>
  <si>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</si>
  <si>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</si>
  <si>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</si>
  <si>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</si>
  <si>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</si>
  <si>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</si>
  <si>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</si>
  <si>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</si>
  <si>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</si>
  <si>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</si>
  <si>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</si>
  <si>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</si>
  <si>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</si>
  <si>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</si>
  <si>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</si>
  <si>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</si>
  <si>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</si>
  <si>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</si>
  <si>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</si>
  <si>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</si>
  <si>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</si>
  <si>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</si>
  <si>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</si>
  <si>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</si>
  <si>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</si>
  <si>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</si>
  <si>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</si>
  <si>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</si>
  <si>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</si>
  <si>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</si>
  <si>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</si>
  <si>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</si>
  <si>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</si>
  <si>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</si>
  <si>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</si>
  <si>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</si>
  <si>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</si>
  <si>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</si>
  <si>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</si>
  <si>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</si>
  <si>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</si>
  <si>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</si>
  <si>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</si>
  <si>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</si>
  <si>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</si>
  <si>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</si>
  <si>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</si>
  <si>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</si>
  <si>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</si>
  <si>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</si>
  <si>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</si>
  <si>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</si>
  <si>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</si>
  <si>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</si>
  <si>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</si>
  <si>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</si>
  <si>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</si>
  <si>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</si>
  <si>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</si>
  <si>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</si>
  <si>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</si>
  <si>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</si>
  <si>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</si>
  <si>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</si>
  <si>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</si>
  <si>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</si>
  <si>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</si>
  <si>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</si>
  <si>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</si>
  <si>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</si>
  <si>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</si>
  <si>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</si>
  <si>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</si>
  <si>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</si>
  <si>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</si>
  <si>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</si>
  <si>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</si>
  <si>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</si>
  <si>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</si>
  <si>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</si>
  <si>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</si>
  <si>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</si>
  <si>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</si>
  <si>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</si>
  <si>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</si>
  <si>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</si>
  <si>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</si>
  <si>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</si>
  <si>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</si>
  <si>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</si>
  <si>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</si>
  <si>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</si>
  <si>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</si>
  <si>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</si>
  <si>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</si>
  <si>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</si>
  <si>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</si>
  <si>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</si>
  <si>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</si>
  <si>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</si>
  <si>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</si>
  <si>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</si>
  <si>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</si>
  <si>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</si>
  <si>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</si>
  <si>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</si>
  <si>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</si>
  <si>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</si>
  <si>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</si>
  <si>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</si>
  <si>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</si>
  <si>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</si>
  <si>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</si>
  <si>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</si>
  <si>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</si>
  <si>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</si>
  <si>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</si>
  <si>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</si>
  <si>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</si>
  <si>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</si>
  <si>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</si>
  <si>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</si>
  <si>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</si>
  <si>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</si>
  <si>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</si>
  <si>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</si>
  <si>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</si>
  <si>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</si>
  <si>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</si>
  <si>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</si>
  <si>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</si>
  <si>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</si>
  <si>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</si>
  <si>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</si>
  <si>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</si>
  <si>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</si>
  <si>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</si>
  <si>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</si>
  <si>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</si>
  <si>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</si>
  <si>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</si>
  <si>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</si>
  <si>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</si>
  <si>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</si>
  <si>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</si>
  <si>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</si>
  <si>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</si>
  <si>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</si>
  <si>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</si>
  <si>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</si>
  <si>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</si>
  <si>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</si>
  <si>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</si>
  <si>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</si>
  <si>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</si>
  <si>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</si>
  <si>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</si>
  <si>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</si>
  <si>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</si>
  <si>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</si>
  <si>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</si>
  <si>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</si>
  <si>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</si>
  <si>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</si>
  <si>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</si>
  <si>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</si>
  <si>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</si>
  <si>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</si>
  <si>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</si>
  <si>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</si>
  <si>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</si>
  <si>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</si>
  <si>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</si>
  <si>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</si>
  <si>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</si>
  <si>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</si>
  <si>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</si>
  <si>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</si>
  <si>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</si>
  <si>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</si>
  <si>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</si>
  <si>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</si>
  <si>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</si>
  <si>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</si>
  <si>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</si>
  <si>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</si>
  <si>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</si>
  <si>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</si>
  <si>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</si>
  <si>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</si>
  <si>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</si>
  <si>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</si>
  <si>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</si>
  <si>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</si>
  <si>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</si>
  <si>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</si>
  <si>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</si>
  <si>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</si>
  <si>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</si>
  <si>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</si>
  <si>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</si>
  <si>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</si>
  <si>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</si>
  <si>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</si>
  <si>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</si>
  <si>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</si>
  <si>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</si>
  <si>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</si>
  <si>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</si>
  <si>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</si>
  <si>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</si>
  <si>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</si>
  <si>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</si>
  <si>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</si>
  <si>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</si>
  <si>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</si>
  <si>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</si>
  <si>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</si>
  <si>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</si>
  <si>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</si>
  <si>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</si>
  <si>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</si>
  <si>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</si>
  <si>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</si>
  <si>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</si>
  <si>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</si>
  <si>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</si>
  <si>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</si>
  <si>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</si>
  <si>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</si>
  <si>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</si>
  <si>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</si>
  <si>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</si>
  <si>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</si>
  <si>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</si>
  <si>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</si>
  <si>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</si>
  <si>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</si>
  <si>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</si>
  <si>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</si>
  <si>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</si>
  <si>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</si>
  <si>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</si>
  <si>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</si>
  <si>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</si>
  <si>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</si>
  <si>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</si>
  <si>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</si>
  <si>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</si>
  <si>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</si>
  <si>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</si>
  <si>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</si>
  <si>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</si>
  <si>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</si>
  <si>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</si>
  <si>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</si>
  <si>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</si>
  <si>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</si>
  <si>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</si>
  <si>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</si>
  <si>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</si>
  <si>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</si>
  <si>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</si>
  <si>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</si>
  <si>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</si>
  <si>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</si>
  <si>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</si>
  <si>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</si>
  <si>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</si>
  <si>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</si>
  <si>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</si>
  <si>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</si>
  <si>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</si>
  <si>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</si>
  <si>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</si>
  <si>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</si>
  <si>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</si>
  <si>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</si>
  <si>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</si>
  <si>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</si>
  <si>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</si>
  <si>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</si>
  <si>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</si>
  <si>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</si>
  <si>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</si>
  <si>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</si>
  <si>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</si>
  <si>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</si>
  <si>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</si>
  <si>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</si>
  <si>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</si>
  <si>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</si>
  <si>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</si>
  <si>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</si>
  <si>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</si>
  <si>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</si>
  <si>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</si>
  <si>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</si>
  <si>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</si>
  <si>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</si>
  <si>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</si>
  <si>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</si>
  <si>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</si>
  <si>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</si>
  <si>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</si>
  <si>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</si>
  <si>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</si>
  <si>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</si>
  <si>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</si>
  <si>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</si>
  <si>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</si>
  <si>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</si>
  <si>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</si>
  <si>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</si>
  <si>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</si>
  <si>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</si>
  <si>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</si>
  <si>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</si>
  <si>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</si>
  <si>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</si>
  <si>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</si>
  <si>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</si>
  <si>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</si>
  <si>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</si>
  <si>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</si>
  <si>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</si>
  <si>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</si>
  <si>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</si>
  <si>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</si>
  <si>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</si>
  <si>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</si>
  <si>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</si>
  <si>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</si>
  <si>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</si>
  <si>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</si>
  <si>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</si>
  <si>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</si>
  <si>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</si>
  <si>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</si>
  <si>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</si>
  <si>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</si>
  <si>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</si>
  <si>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</si>
  <si>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</si>
  <si>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</si>
  <si>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</si>
  <si>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</si>
  <si>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</si>
  <si>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</si>
  <si>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</si>
  <si>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</si>
  <si>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</si>
  <si>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</si>
  <si>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</si>
  <si>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</si>
  <si>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</si>
  <si>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</si>
  <si>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</si>
  <si>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</si>
  <si>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</si>
  <si>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</si>
  <si>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</si>
  <si>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</si>
  <si>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</si>
  <si>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</si>
  <si>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</si>
  <si>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</si>
  <si>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</si>
  <si>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</si>
  <si>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</si>
  <si>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</si>
  <si>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</si>
  <si>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</si>
  <si>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</si>
  <si>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</si>
  <si>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</si>
  <si>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</si>
  <si>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</si>
  <si>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</si>
  <si>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</si>
  <si>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</si>
  <si>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</si>
  <si>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</si>
  <si>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</si>
  <si>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</si>
  <si>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</si>
  <si>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</si>
  <si>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</si>
  <si>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</si>
  <si>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</si>
  <si>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</si>
  <si>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</si>
  <si>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</si>
  <si>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</si>
  <si>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</si>
  <si>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</si>
  <si>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</si>
  <si>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</si>
  <si>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</si>
  <si>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</si>
  <si>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</si>
  <si>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</si>
  <si>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</si>
  <si>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</si>
  <si>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</si>
  <si>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</si>
  <si>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</si>
  <si>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</si>
  <si>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</si>
  <si>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</si>
  <si>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</si>
  <si>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</si>
  <si>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</si>
  <si>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</si>
  <si>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</si>
  <si>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</si>
  <si>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</si>
  <si>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</si>
  <si>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</si>
  <si>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</si>
  <si>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</si>
  <si>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</si>
  <si>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</si>
  <si>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</si>
  <si>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</si>
  <si>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</si>
  <si>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</si>
  <si>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</si>
  <si>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</si>
  <si>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</si>
  <si>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</si>
  <si>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</si>
  <si>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</si>
  <si>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</si>
  <si>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</si>
  <si>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</si>
  <si>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</si>
  <si>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</si>
  <si>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</si>
  <si>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</si>
  <si>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</si>
  <si>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</si>
  <si>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</si>
  <si>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</si>
  <si>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</si>
  <si>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</si>
  <si>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</si>
  <si>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</si>
  <si>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</si>
  <si>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</si>
  <si>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</si>
  <si>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</si>
  <si>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</si>
  <si>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</si>
  <si>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</si>
  <si>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</si>
  <si>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</si>
  <si>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</si>
  <si>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</si>
  <si>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</si>
  <si>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</si>
  <si>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</si>
  <si>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</si>
  <si>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</si>
  <si>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</si>
  <si>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</si>
  <si>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</si>
  <si>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</si>
  <si>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</si>
  <si>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</si>
  <si>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</si>
  <si>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</si>
  <si>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</si>
  <si>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</si>
  <si>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</si>
  <si>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</si>
  <si>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</si>
  <si>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</si>
  <si>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</si>
  <si>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</si>
  <si>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</si>
  <si>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</si>
  <si>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</si>
  <si>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</si>
  <si>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</si>
  <si>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</si>
  <si>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</si>
  <si>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</si>
  <si>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</si>
  <si>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</si>
  <si>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</si>
  <si>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</si>
  <si>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</si>
  <si>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</si>
  <si>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</si>
  <si>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</si>
  <si>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</si>
  <si>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</si>
  <si>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</si>
  <si>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</si>
  <si>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</si>
  <si>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</si>
  <si>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</si>
  <si>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</si>
  <si>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</si>
  <si>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</si>
  <si>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</si>
  <si>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</si>
  <si>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</si>
  <si>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</si>
  <si>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</si>
  <si>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</si>
  <si>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</si>
  <si>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</si>
  <si>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</si>
  <si>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</si>
  <si>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</si>
  <si>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</si>
  <si>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</si>
  <si>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</si>
  <si>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</si>
  <si>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</si>
  <si>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</si>
  <si>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</si>
  <si>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</si>
  <si>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</si>
  <si>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</si>
  <si>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</si>
  <si>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</si>
  <si>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</si>
  <si>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</si>
  <si>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</si>
  <si>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</si>
  <si>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</si>
  <si>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</si>
  <si>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</si>
  <si>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</si>
  <si>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</si>
  <si>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</si>
  <si>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</si>
  <si>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</si>
  <si>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</si>
  <si>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</si>
  <si>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</si>
  <si>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</si>
  <si>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</si>
  <si>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</si>
  <si>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</si>
  <si>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</si>
  <si>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</si>
  <si>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</si>
  <si>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</si>
  <si>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</si>
  <si>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</si>
  <si>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</si>
  <si>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</si>
  <si>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</si>
  <si>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</si>
  <si>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</si>
  <si>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</si>
  <si>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</si>
  <si>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</si>
  <si>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</si>
  <si>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</si>
  <si>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</si>
  <si>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</si>
  <si>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</si>
  <si>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</si>
  <si>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</si>
  <si>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</si>
  <si>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</si>
  <si>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</si>
  <si>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</si>
  <si>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</si>
  <si>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</si>
  <si>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</si>
  <si>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</si>
  <si>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</si>
  <si>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</si>
  <si>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</si>
  <si>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</si>
  <si>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</si>
  <si>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</si>
  <si>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</si>
  <si>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</si>
  <si>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</si>
  <si>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</si>
  <si>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</si>
  <si>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</si>
  <si>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</si>
  <si>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</si>
  <si>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</si>
  <si>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</si>
  <si>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</si>
  <si>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</si>
  <si>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</si>
  <si>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</si>
  <si>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</si>
  <si>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</si>
  <si>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</si>
  <si>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</si>
  <si>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</si>
  <si>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</si>
  <si>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</si>
  <si>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</si>
  <si>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</si>
  <si>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</si>
  <si>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</si>
  <si>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</si>
  <si>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</si>
  <si>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</si>
  <si>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</si>
  <si>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</si>
  <si>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</si>
  <si>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</si>
  <si>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</si>
  <si>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</si>
  <si>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</si>
  <si>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</si>
  <si>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</si>
  <si>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</si>
  <si>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</si>
  <si>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</si>
  <si>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</si>
  <si>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</si>
  <si>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</si>
  <si>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</si>
  <si>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</si>
  <si>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</si>
  <si>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</si>
  <si>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</si>
  <si>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</si>
  <si>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</si>
  <si>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</si>
  <si>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</si>
  <si>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</si>
  <si>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</si>
  <si>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</si>
  <si>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</si>
  <si>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</si>
  <si>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</si>
  <si>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</si>
  <si>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</si>
  <si>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</si>
  <si>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</si>
  <si>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</si>
  <si>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</si>
  <si>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</si>
  <si>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</si>
  <si>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</si>
  <si>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</si>
  <si>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</si>
  <si>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</si>
  <si>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</si>
  <si>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</si>
  <si>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</si>
  <si>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</si>
  <si>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</si>
  <si>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</si>
  <si>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</si>
  <si>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</si>
  <si>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</si>
  <si>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</si>
  <si>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</si>
  <si>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</si>
  <si>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</si>
  <si>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</si>
  <si>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</si>
  <si>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</si>
  <si>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</si>
  <si>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</si>
  <si>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</si>
  <si>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</si>
  <si>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</si>
  <si>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</si>
  <si>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</si>
  <si>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</si>
  <si>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</si>
  <si>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</si>
  <si>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</si>
  <si>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</si>
  <si>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</si>
  <si>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</si>
  <si>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</si>
  <si>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</si>
  <si>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</si>
  <si>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</si>
  <si>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</si>
  <si>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</si>
  <si>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</si>
  <si>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</si>
  <si>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</si>
  <si>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</si>
  <si>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</si>
  <si>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</si>
  <si>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</si>
  <si>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</si>
  <si>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</si>
  <si>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</si>
  <si>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</si>
  <si>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</si>
  <si>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</si>
  <si>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</si>
  <si>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</si>
  <si>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</si>
  <si>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</si>
  <si>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</si>
  <si>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</si>
  <si>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</si>
  <si>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</si>
  <si>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</si>
  <si>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</si>
  <si>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</si>
  <si>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</si>
  <si>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</si>
  <si>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</si>
  <si>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</si>
  <si>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</si>
  <si>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</si>
  <si>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</si>
  <si>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</si>
  <si>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</si>
  <si>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</si>
  <si>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</si>
  <si>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</si>
  <si>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</si>
  <si>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</si>
  <si>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</si>
  <si>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</si>
  <si>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</si>
  <si>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</si>
  <si>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</si>
  <si>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</si>
  <si>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</si>
  <si>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</si>
  <si>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</si>
  <si>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</si>
  <si>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</si>
  <si>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</si>
  <si>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</si>
  <si>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</si>
  <si>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</si>
  <si>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</si>
  <si>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</si>
  <si>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</si>
  <si>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</si>
  <si>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</si>
  <si>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</si>
  <si>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</si>
  <si>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</si>
  <si>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</si>
  <si>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</si>
  <si>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</si>
  <si>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</si>
  <si>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</si>
  <si>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</si>
  <si>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</si>
  <si>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</si>
  <si>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</si>
  <si>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</si>
  <si>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</si>
  <si>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</si>
  <si>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</si>
  <si>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</si>
  <si>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</si>
  <si>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</si>
  <si>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</si>
  <si>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</si>
  <si>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</si>
  <si>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</si>
  <si>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</si>
  <si>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</si>
  <si>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</si>
  <si>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</si>
  <si>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</si>
  <si>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</si>
  <si>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</si>
  <si>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</si>
  <si>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</si>
  <si>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</si>
  <si>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</si>
  <si>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</si>
  <si>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</si>
  <si>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</si>
  <si>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</si>
  <si>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</si>
  <si>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</si>
  <si>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</si>
  <si>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</si>
  <si>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</si>
  <si>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</si>
  <si>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</si>
  <si>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</si>
  <si>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</si>
  <si>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</si>
  <si>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</si>
  <si>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</si>
  <si>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</si>
  <si>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</si>
  <si>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</si>
  <si>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</si>
  <si>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</si>
  <si>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</si>
  <si>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</si>
  <si>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</si>
  <si>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</si>
  <si>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</si>
  <si>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</si>
  <si>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</si>
  <si>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</si>
  <si>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</si>
  <si>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</si>
  <si>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</si>
  <si>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</si>
  <si>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</si>
  <si>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</si>
  <si>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</si>
  <si>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</si>
  <si>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</si>
  <si>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</si>
  <si>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</si>
  <si>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</si>
  <si>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</si>
  <si>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</si>
  <si>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</si>
  <si>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</si>
  <si>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</si>
  <si>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</si>
  <si>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</si>
  <si>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</si>
  <si>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</si>
  <si>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</si>
  <si>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</si>
  <si>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</si>
  <si>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</si>
  <si>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</si>
  <si>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</si>
  <si>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</si>
  <si>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</si>
  <si>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</si>
  <si>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</si>
  <si>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</si>
  <si>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</si>
  <si>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</si>
  <si>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</si>
  <si>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</si>
  <si>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</si>
  <si>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</si>
  <si>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</si>
  <si>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</si>
  <si>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</si>
  <si>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</si>
  <si>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</si>
  <si>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</si>
  <si>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</si>
  <si>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</si>
  <si>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</si>
  <si>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</si>
  <si>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</si>
  <si>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</si>
  <si>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</si>
  <si>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</si>
  <si>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</si>
  <si>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</si>
  <si>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</si>
  <si>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</si>
  <si>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</si>
  <si>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</si>
  <si>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</si>
  <si>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</si>
  <si>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</si>
  <si>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</si>
  <si>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</si>
  <si>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</si>
  <si>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</si>
  <si>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</si>
  <si>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</si>
  <si>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</si>
  <si>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</si>
  <si>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</si>
  <si>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</si>
  <si>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</si>
  <si>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</si>
  <si>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</si>
  <si>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</si>
  <si>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</si>
  <si>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</si>
  <si>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</si>
  <si>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</si>
  <si>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</si>
  <si>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</si>
  <si>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</si>
  <si>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</si>
  <si>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</si>
  <si>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</si>
  <si>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</si>
  <si>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</si>
  <si>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</si>
  <si>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</si>
  <si>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</si>
  <si>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</si>
  <si>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</si>
  <si>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</si>
  <si>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</si>
  <si>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</si>
  <si>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</si>
  <si>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</si>
  <si>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</si>
  <si>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</si>
  <si>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</si>
  <si>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</si>
  <si>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</si>
  <si>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</si>
  <si>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</si>
  <si>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</si>
  <si>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</si>
  <si>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</si>
  <si>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</si>
  <si>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</si>
  <si>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</si>
  <si>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</si>
  <si>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</si>
  <si>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</si>
  <si>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</si>
  <si>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</si>
  <si>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</si>
  <si>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</si>
  <si>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</si>
  <si>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</si>
  <si>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</si>
  <si>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</si>
  <si>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</si>
  <si>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</si>
  <si>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</si>
  <si>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</si>
  <si>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</si>
  <si>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</si>
  <si>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</si>
  <si>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</si>
  <si>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</si>
  <si>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</si>
  <si>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</si>
  <si>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</si>
  <si>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</si>
  <si>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</si>
  <si>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</si>
  <si>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</si>
  <si>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</si>
  <si>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</si>
  <si>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</si>
  <si>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</si>
  <si>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</si>
  <si>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</si>
  <si>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</si>
  <si>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</si>
  <si>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</si>
  <si>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</si>
  <si>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</si>
  <si>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</si>
  <si>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</si>
  <si>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</si>
  <si>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</si>
  <si>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</si>
  <si>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</si>
  <si>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</si>
  <si>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</si>
  <si>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</si>
  <si>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</si>
  <si>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</si>
  <si>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</si>
  <si>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</si>
  <si>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</si>
  <si>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</si>
  <si>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</si>
  <si>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</si>
  <si>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</si>
  <si>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</si>
  <si>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</si>
  <si>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</si>
  <si>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</si>
  <si>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</si>
  <si>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</si>
  <si>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</si>
  <si>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</si>
  <si>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</si>
  <si>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</si>
  <si>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</si>
  <si>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</si>
  <si>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</si>
  <si>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</si>
  <si>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</si>
  <si>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</si>
  <si>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</si>
  <si>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</si>
  <si>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</si>
  <si>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</si>
  <si>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</si>
  <si>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</si>
  <si>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</si>
  <si>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</si>
  <si>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</si>
  <si>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</si>
  <si>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</si>
  <si>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</si>
  <si>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</si>
  <si>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</si>
  <si>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</si>
  <si>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</si>
  <si>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</si>
  <si>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</si>
  <si>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</si>
  <si>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</si>
  <si>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</si>
  <si>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</si>
  <si>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</si>
  <si>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</si>
  <si>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</si>
  <si>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</si>
  <si>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</si>
  <si>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</si>
  <si>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</si>
  <si>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</si>
  <si>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</si>
  <si>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</si>
  <si>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</si>
  <si>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</si>
  <si>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</si>
  <si>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</si>
  <si>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</si>
  <si>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</si>
  <si>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</si>
  <si>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</si>
  <si>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</si>
  <si>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</si>
  <si>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</si>
  <si>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</si>
  <si>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</si>
  <si>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</si>
  <si>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</si>
  <si>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</si>
  <si>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</si>
  <si>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</si>
  <si>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</si>
  <si>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</si>
  <si>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</si>
  <si>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</si>
  <si>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</si>
  <si>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</si>
  <si>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</si>
  <si>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</si>
  <si>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</si>
  <si>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</si>
  <si>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</si>
  <si>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</si>
  <si>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</si>
  <si>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</si>
  <si>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</si>
  <si>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</si>
  <si>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</si>
  <si>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</si>
  <si>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</si>
  <si>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</si>
  <si>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</si>
  <si>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</si>
  <si>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</si>
  <si>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</si>
  <si>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</si>
  <si>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</si>
  <si>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</si>
  <si>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</si>
  <si>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</si>
  <si>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</si>
  <si>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</si>
  <si>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</si>
  <si>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</si>
  <si>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</si>
  <si>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</si>
  <si>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</si>
  <si>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</si>
  <si>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</si>
  <si>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</si>
  <si>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</si>
  <si>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</si>
  <si>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</si>
  <si>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</si>
  <si>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</si>
  <si>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</si>
  <si>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</si>
  <si>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</si>
  <si>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</si>
  <si>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</si>
  <si>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</si>
  <si>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</si>
  <si>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</si>
  <si>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</si>
  <si>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</si>
  <si>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</si>
  <si>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</si>
  <si>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</si>
  <si>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</si>
  <si>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</si>
  <si>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</si>
  <si>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</si>
  <si>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</si>
  <si>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</si>
  <si>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</si>
  <si>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</si>
  <si>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</si>
  <si>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</si>
  <si>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</si>
  <si>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</si>
  <si>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</si>
  <si>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</si>
  <si>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</si>
  <si>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</si>
  <si>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</si>
  <si>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</si>
  <si>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</si>
  <si>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</si>
  <si>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</si>
  <si>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</si>
  <si>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</si>
  <si>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</si>
  <si>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</si>
  <si>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</si>
  <si>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</si>
  <si>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</si>
  <si>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</si>
  <si>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</si>
  <si>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</si>
  <si>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</si>
  <si>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</si>
  <si>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</si>
  <si>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</si>
  <si>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</si>
  <si>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</si>
  <si>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</si>
  <si>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</si>
  <si>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</si>
  <si>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</si>
  <si>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</si>
  <si>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</si>
  <si>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</si>
  <si>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</si>
  <si>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</si>
  <si>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</si>
  <si>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</si>
  <si>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</si>
  <si>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</si>
  <si>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</si>
  <si>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</si>
  <si>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</si>
  <si>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</si>
  <si>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</si>
  <si>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</si>
  <si>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</si>
  <si>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</si>
  <si>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</si>
  <si>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</si>
  <si>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</si>
  <si>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</si>
  <si>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</si>
  <si>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</si>
  <si>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</si>
  <si>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</si>
  <si>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</si>
  <si>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</si>
  <si>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</si>
  <si>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</si>
  <si>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</si>
  <si>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</si>
  <si>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</si>
  <si>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</si>
  <si>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</si>
  <si>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</si>
  <si>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</si>
  <si>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</si>
  <si>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</si>
  <si>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</si>
  <si>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</si>
  <si>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</si>
  <si>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</si>
  <si>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</si>
  <si>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</si>
  <si>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</si>
  <si>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</si>
  <si>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</si>
  <si>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</si>
  <si>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</si>
  <si>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</si>
  <si>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</si>
  <si>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</si>
  <si>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</si>
  <si>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</si>
  <si>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</si>
  <si>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</si>
  <si>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</si>
  <si>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</si>
  <si>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</si>
  <si>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</si>
  <si>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</si>
  <si>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</si>
  <si>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</si>
  <si>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</si>
  <si>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</si>
  <si>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</si>
  <si>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</si>
  <si>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</si>
  <si>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</si>
  <si>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</si>
  <si>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</si>
  <si>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</si>
  <si>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</si>
  <si>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</si>
  <si>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</si>
  <si>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</si>
  <si>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</si>
  <si>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</si>
  <si>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</si>
  <si>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</si>
  <si>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</si>
  <si>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</si>
  <si>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</si>
  <si>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</si>
  <si>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</si>
  <si>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</si>
  <si>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</si>
  <si>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</si>
  <si>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</si>
  <si>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</si>
  <si>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</si>
  <si>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</si>
  <si>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</si>
  <si>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</si>
  <si>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</si>
  <si>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</si>
  <si>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</si>
  <si>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</si>
  <si>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</si>
  <si>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</si>
  <si>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</si>
  <si>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</si>
  <si>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</si>
  <si>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</si>
  <si>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</si>
  <si>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</si>
  <si>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</si>
  <si>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</si>
  <si>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</si>
  <si>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</si>
  <si>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</si>
  <si>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</si>
  <si>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</si>
  <si>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</si>
  <si>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</si>
  <si>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</si>
  <si>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</si>
  <si>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</si>
  <si>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</si>
  <si>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</si>
  <si>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</si>
  <si>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</si>
  <si>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</si>
  <si>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</si>
  <si>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</si>
  <si>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</si>
  <si>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</si>
  <si>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</si>
  <si>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</si>
  <si>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</si>
  <si>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</si>
  <si>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</si>
  <si>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</si>
  <si>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</si>
  <si>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</si>
  <si>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</si>
  <si>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</si>
  <si>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</si>
  <si>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</si>
  <si>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</si>
  <si>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</si>
  <si>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</si>
  <si>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</si>
  <si>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</si>
  <si>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</si>
  <si>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</si>
  <si>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</si>
  <si>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</si>
  <si>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</si>
  <si>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</si>
  <si>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</si>
  <si>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</si>
  <si>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</si>
  <si>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</si>
  <si>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</si>
  <si>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</si>
  <si>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</si>
  <si>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</si>
  <si>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</si>
  <si>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</si>
  <si>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</si>
  <si>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</si>
  <si>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</si>
  <si>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</si>
  <si>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</si>
  <si>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</si>
  <si>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</si>
  <si>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</si>
  <si>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</si>
  <si>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</si>
  <si>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</si>
  <si>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</si>
  <si>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</si>
  <si>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</si>
  <si>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</si>
  <si>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</si>
  <si>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</si>
  <si>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</si>
  <si>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</si>
  <si>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</si>
  <si>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</si>
  <si>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</si>
  <si>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</si>
  <si>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</si>
  <si>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</si>
  <si>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</si>
  <si>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</si>
  <si>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</si>
  <si>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</si>
  <si>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</si>
  <si>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</si>
  <si>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</si>
  <si>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</si>
  <si>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</si>
  <si>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</si>
  <si>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</si>
  <si>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</si>
  <si>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</si>
  <si>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</si>
  <si>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</si>
  <si>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</si>
  <si>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</si>
  <si>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</si>
  <si>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</si>
  <si>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</si>
  <si>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</si>
  <si>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</si>
  <si>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</si>
  <si>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</si>
  <si>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</si>
  <si>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</si>
  <si>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</si>
  <si>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</si>
  <si>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</si>
  <si>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</si>
  <si>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</si>
  <si>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</si>
  <si>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</si>
  <si>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</si>
  <si>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</si>
  <si>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</si>
  <si>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</si>
  <si>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</si>
  <si>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</si>
  <si>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</si>
  <si>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</si>
  <si>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</si>
  <si>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</si>
  <si>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</si>
  <si>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</si>
  <si>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</si>
  <si>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</si>
  <si>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</si>
  <si>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</si>
  <si>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</si>
  <si>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</si>
  <si>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</si>
  <si>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</si>
  <si>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</si>
  <si>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</si>
  <si>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</si>
  <si>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</si>
  <si>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</si>
  <si>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</si>
  <si>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</si>
  <si>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</si>
  <si>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</si>
  <si>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</si>
  <si>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</si>
  <si>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</si>
  <si>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</si>
  <si>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</si>
  <si>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</si>
  <si>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</si>
  <si>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</si>
  <si>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</si>
  <si>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</si>
  <si>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</si>
  <si>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</si>
  <si>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</si>
  <si>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</si>
  <si>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</si>
  <si>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</si>
  <si>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</si>
  <si>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</si>
  <si>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</si>
  <si>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</si>
  <si>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</si>
  <si>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</si>
  <si>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</si>
  <si>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</si>
  <si>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</si>
  <si>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</si>
  <si>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</si>
  <si>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</si>
  <si>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</si>
  <si>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</si>
  <si>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</si>
  <si>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</si>
  <si>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</si>
  <si>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</si>
  <si>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</si>
  <si>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</si>
  <si>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</si>
  <si>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</si>
  <si>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</si>
  <si>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</si>
  <si>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</si>
  <si>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</si>
  <si>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</si>
  <si>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</si>
  <si>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</si>
  <si>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</si>
  <si>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</si>
  <si>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</si>
  <si>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</si>
  <si>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</si>
  <si>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</si>
  <si>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</si>
  <si>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</si>
  <si>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</si>
  <si>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</si>
  <si>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</si>
  <si>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</si>
  <si>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</si>
  <si>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</si>
  <si>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</si>
  <si>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</si>
  <si>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</si>
  <si>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</si>
  <si>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</si>
  <si>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</si>
  <si>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</si>
  <si>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</si>
  <si>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</si>
  <si>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</si>
  <si>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</si>
  <si>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</si>
  <si>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</si>
  <si>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</si>
  <si>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</si>
  <si>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</si>
  <si>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</si>
  <si>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</si>
  <si>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</si>
  <si>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</si>
  <si>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</si>
  <si>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</si>
  <si>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</si>
  <si>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</si>
  <si>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</si>
  <si>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</si>
  <si>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</si>
  <si>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</si>
  <si>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</si>
  <si>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</si>
  <si>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</si>
  <si>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</si>
  <si>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</si>
  <si>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</si>
  <si>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</si>
  <si>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</si>
  <si>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</si>
  <si>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</si>
  <si>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</si>
  <si>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</si>
  <si>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</si>
  <si>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</si>
  <si>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</si>
  <si>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</si>
  <si>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</si>
  <si>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</si>
  <si>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</si>
  <si>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</si>
  <si>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</si>
  <si>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</si>
  <si>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</si>
  <si>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</si>
  <si>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</si>
  <si>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</si>
  <si>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</si>
  <si>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</si>
  <si>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</si>
  <si>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</si>
  <si>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</si>
  <si>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</si>
  <si>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</si>
  <si>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</si>
  <si>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</si>
  <si>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</si>
  <si>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</si>
  <si>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</si>
  <si>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</si>
  <si>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</si>
  <si>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</si>
  <si>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</si>
  <si>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</si>
  <si>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</si>
  <si>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</si>
  <si>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</si>
  <si>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</si>
  <si>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</si>
  <si>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</si>
  <si>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</si>
  <si>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</si>
  <si>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</si>
  <si>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</si>
  <si>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</si>
  <si>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</si>
  <si>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</si>
  <si>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</si>
  <si>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</si>
  <si>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</si>
  <si>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</si>
  <si>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</si>
  <si>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</si>
  <si>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</si>
  <si>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</si>
  <si>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</si>
  <si>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</si>
  <si>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</si>
  <si>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</si>
  <si>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</si>
  <si>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</si>
  <si>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</si>
  <si>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</si>
  <si>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</si>
  <si>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</si>
  <si>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</si>
  <si>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</si>
  <si>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</si>
  <si>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</si>
  <si>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</si>
  <si>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</si>
  <si>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</si>
  <si>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</si>
  <si>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</si>
  <si>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</si>
  <si>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</si>
  <si>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</si>
  <si>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</si>
  <si>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</si>
  <si>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</si>
  <si>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</si>
  <si>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</si>
  <si>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</si>
  <si>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</si>
  <si>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</si>
  <si>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</si>
  <si>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</si>
  <si>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</si>
  <si>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</si>
  <si>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</si>
  <si>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</si>
  <si>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</si>
  <si>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</si>
  <si>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</si>
  <si>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</si>
  <si>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</si>
  <si>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</si>
  <si>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</si>
  <si>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</si>
  <si>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</si>
  <si>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</si>
  <si>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</si>
  <si>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</si>
  <si>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</si>
  <si>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</si>
  <si>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</si>
  <si>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</si>
  <si>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</si>
  <si>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</si>
  <si>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</si>
  <si>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</si>
  <si>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</si>
  <si>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</si>
  <si>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</si>
  <si>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</si>
  <si>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</si>
  <si>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</si>
  <si>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</si>
  <si>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</si>
  <si>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</si>
  <si>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</si>
  <si>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</si>
  <si>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</si>
  <si>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</si>
  <si>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</si>
  <si>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</si>
  <si>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</si>
  <si>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</si>
  <si>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</si>
  <si>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</si>
  <si>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</si>
  <si>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</si>
  <si>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</si>
  <si>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</si>
  <si>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</si>
  <si>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</si>
  <si>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</si>
  <si>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</si>
  <si>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</si>
  <si>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</si>
  <si>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</si>
  <si>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</si>
  <si>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</si>
  <si>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</si>
  <si>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</si>
  <si>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</si>
  <si>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</si>
  <si>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</si>
  <si>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</si>
  <si>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</si>
  <si>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</si>
  <si>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</si>
  <si>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</si>
  <si>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</si>
  <si>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</si>
  <si>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</si>
  <si>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</si>
  <si>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</si>
  <si>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</si>
  <si>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</si>
  <si>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</si>
  <si>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</si>
  <si>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</si>
  <si>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</si>
  <si>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</si>
  <si>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</si>
  <si>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</si>
  <si>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</si>
  <si>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</si>
  <si>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</si>
  <si>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</si>
  <si>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</si>
  <si>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</si>
  <si>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</si>
  <si>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</si>
  <si>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</si>
  <si>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</si>
  <si>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</si>
  <si>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</si>
  <si>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</si>
  <si>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</si>
  <si>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</si>
  <si>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</si>
  <si>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</si>
  <si>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</si>
  <si>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</si>
  <si>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</si>
  <si>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</si>
  <si>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</si>
  <si>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</si>
  <si>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</si>
  <si>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</si>
  <si>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</si>
  <si>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</si>
  <si>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</si>
  <si>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</si>
  <si>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</si>
  <si>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</si>
  <si>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</si>
  <si>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</si>
  <si>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</si>
  <si>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</si>
  <si>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</si>
  <si>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</si>
  <si>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</si>
  <si>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</si>
  <si>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</si>
  <si>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</si>
  <si>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</si>
  <si>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</si>
  <si>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</si>
  <si>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</si>
  <si>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</si>
  <si>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</si>
  <si>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</si>
  <si>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</si>
  <si>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</si>
  <si>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</si>
  <si>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</si>
  <si>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</si>
  <si>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</si>
  <si>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</si>
  <si>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</si>
  <si>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</si>
  <si>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</si>
  <si>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</si>
  <si>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</si>
  <si>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</si>
  <si>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</si>
  <si>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</si>
  <si>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</si>
  <si>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</si>
  <si>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</si>
  <si>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</si>
  <si>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</si>
  <si>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</si>
  <si>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</si>
  <si>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</si>
  <si>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</si>
  <si>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</si>
  <si>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</si>
  <si>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</si>
  <si>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</si>
  <si>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</si>
  <si>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</si>
  <si>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</si>
  <si>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</si>
  <si>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</si>
  <si>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</si>
  <si>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</si>
  <si>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</si>
  <si>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</si>
  <si>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</si>
  <si>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</si>
  <si>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</si>
  <si>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</si>
  <si>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</si>
  <si>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</si>
  <si>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</si>
  <si>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</si>
  <si>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</si>
  <si>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</si>
  <si>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</si>
  <si>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</si>
  <si>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</si>
  <si>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</si>
  <si>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</si>
  <si>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</si>
  <si>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</si>
  <si>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</si>
  <si>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</si>
  <si>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</si>
  <si>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</si>
  <si>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</si>
  <si>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</si>
  <si>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</si>
  <si>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</si>
  <si>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</si>
  <si>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</si>
  <si>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</si>
  <si>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</si>
  <si>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</si>
  <si>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</si>
  <si>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</si>
  <si>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</si>
  <si>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</si>
  <si>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</si>
  <si>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</si>
  <si>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</si>
  <si>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</si>
  <si>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</si>
  <si>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</si>
  <si>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</si>
  <si>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</si>
  <si>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</si>
  <si>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</si>
  <si>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</si>
  <si>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</si>
  <si>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</si>
  <si>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</si>
  <si>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</si>
  <si>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</si>
  <si>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</si>
  <si>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</si>
  <si>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</si>
  <si>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</si>
  <si>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</si>
  <si>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</si>
  <si>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</si>
  <si>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</si>
  <si>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</si>
  <si>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</si>
  <si>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</si>
  <si>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</si>
  <si>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</si>
  <si>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</si>
  <si>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</si>
  <si>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</si>
  <si>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</si>
  <si>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</si>
  <si>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</si>
  <si>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</si>
  <si>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</si>
  <si>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</si>
  <si>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</si>
  <si>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</si>
  <si>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</si>
  <si>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</si>
  <si>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</si>
  <si>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</si>
  <si>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</si>
  <si>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</si>
  <si>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</si>
  <si>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</si>
  <si>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</si>
  <si>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</si>
  <si>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</si>
  <si>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</si>
  <si>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</si>
  <si>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</si>
  <si>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</si>
  <si>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</si>
  <si>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</si>
  <si>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</si>
  <si>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</si>
  <si>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</si>
  <si>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</si>
  <si>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</si>
  <si>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</si>
  <si>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</si>
  <si>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</si>
  <si>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</si>
  <si>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</si>
  <si>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</si>
  <si>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</si>
  <si>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</si>
  <si>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</si>
  <si>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</si>
  <si>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</si>
  <si>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</si>
  <si>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</si>
  <si>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</si>
  <si>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</si>
  <si>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</si>
  <si>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</si>
  <si>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</si>
  <si>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</si>
  <si>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</si>
  <si>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</si>
  <si>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</si>
  <si>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</si>
  <si>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</si>
  <si>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</si>
  <si>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</si>
  <si>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</si>
  <si>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</si>
  <si>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</si>
  <si>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</si>
  <si>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</si>
  <si>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</si>
  <si>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</si>
  <si>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</si>
  <si>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</si>
  <si>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</si>
  <si>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</si>
  <si>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</si>
  <si>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</si>
  <si>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</si>
  <si>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</si>
  <si>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</si>
  <si>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</si>
  <si>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</si>
  <si>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</si>
  <si>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</si>
  <si>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</si>
  <si>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</si>
  <si>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</si>
  <si>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</si>
  <si>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</si>
  <si>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</si>
  <si>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</si>
  <si>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</si>
  <si>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</si>
  <si>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</si>
  <si>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</si>
  <si>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</si>
  <si>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</si>
  <si>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</si>
  <si>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</si>
  <si>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</si>
  <si>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</si>
  <si>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</si>
  <si>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</si>
  <si>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</si>
  <si>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</si>
  <si>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</si>
  <si>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</si>
  <si>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</si>
  <si>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</si>
  <si>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</si>
  <si>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</si>
  <si>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</si>
  <si>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</si>
  <si>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</si>
  <si>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</si>
  <si>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</si>
  <si>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</si>
  <si>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</si>
  <si>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</si>
  <si>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</si>
  <si>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</si>
  <si>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</si>
  <si>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</si>
  <si>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</si>
  <si>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</si>
  <si>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</si>
  <si>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</si>
  <si>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</si>
  <si>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</si>
  <si>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</si>
  <si>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</si>
  <si>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</si>
  <si>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</si>
  <si>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</si>
  <si>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</si>
  <si>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</si>
  <si>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</si>
  <si>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</si>
  <si>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</si>
  <si>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</si>
  <si>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</si>
  <si>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</si>
  <si>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</si>
  <si>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</si>
  <si>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</si>
  <si>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</si>
  <si>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</si>
  <si>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</si>
  <si>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</si>
  <si>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</si>
  <si>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</si>
  <si>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</si>
  <si>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</si>
  <si>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</si>
  <si>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</si>
  <si>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</si>
  <si>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</si>
  <si>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</si>
  <si>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</si>
  <si>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</si>
  <si>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</si>
  <si>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</si>
  <si>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</si>
  <si>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</si>
  <si>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</si>
  <si>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</si>
  <si>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</si>
  <si>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</si>
  <si>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</si>
  <si>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</si>
  <si>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</si>
  <si>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</si>
  <si>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</si>
  <si>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</si>
  <si>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</si>
  <si>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</si>
  <si>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</si>
  <si>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</si>
  <si>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</si>
  <si>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</si>
  <si>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</si>
  <si>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</si>
  <si>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</si>
  <si>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</si>
  <si>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</si>
  <si>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</si>
  <si>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</si>
  <si>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</si>
  <si>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</si>
  <si>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</si>
  <si>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</si>
  <si>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</si>
  <si>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</si>
  <si>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</si>
  <si>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</si>
  <si>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</si>
  <si>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</si>
  <si>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</si>
  <si>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</si>
  <si>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</si>
  <si>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</si>
  <si>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</si>
  <si>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</si>
  <si>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</si>
  <si>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</si>
  <si>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</si>
  <si>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</si>
  <si>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</si>
  <si>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</si>
  <si>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</si>
  <si>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</si>
  <si>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</si>
  <si>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</si>
  <si>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</si>
  <si>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</si>
  <si>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</si>
  <si>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</si>
  <si>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</si>
  <si>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</si>
  <si>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</si>
  <si>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</si>
  <si>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</si>
  <si>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</si>
  <si>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</si>
  <si>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</si>
  <si>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</si>
  <si>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</si>
  <si>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</si>
  <si>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</si>
  <si>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</si>
  <si>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</si>
  <si>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</si>
  <si>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</si>
  <si>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</si>
  <si>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</si>
  <si>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</si>
  <si>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</si>
  <si>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</si>
  <si>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</si>
  <si>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</si>
  <si>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</si>
  <si>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</si>
  <si>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</si>
  <si>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</si>
  <si>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</si>
  <si>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</si>
  <si>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</si>
  <si>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</si>
  <si>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</si>
  <si>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</si>
  <si>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</si>
  <si>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</si>
  <si>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</si>
  <si>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</si>
  <si>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</si>
  <si>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</si>
  <si>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</si>
  <si>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</si>
  <si>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</si>
  <si>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</si>
  <si>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</si>
  <si>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</si>
  <si>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</si>
  <si>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</si>
  <si>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</si>
  <si>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</si>
  <si>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</si>
  <si>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</si>
  <si>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</si>
  <si>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</si>
  <si>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</si>
  <si>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</si>
  <si>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</si>
  <si>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</si>
  <si>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</si>
  <si>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</si>
  <si>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</si>
  <si>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</si>
  <si>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</si>
  <si>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</si>
  <si>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</si>
  <si>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</si>
  <si>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</si>
  <si>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</si>
  <si>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</si>
  <si>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</si>
  <si>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</si>
  <si>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</si>
  <si>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</si>
  <si>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</si>
  <si>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</si>
  <si>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</si>
  <si>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</si>
  <si>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</si>
  <si>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</si>
  <si>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</si>
  <si>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</si>
  <si>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</si>
  <si>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</si>
  <si>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</si>
  <si>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</si>
  <si>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</si>
  <si>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</si>
  <si>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</si>
  <si>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</si>
  <si>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</si>
  <si>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</si>
  <si>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</si>
  <si>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</si>
  <si>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</si>
  <si>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</si>
  <si>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</si>
  <si>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</si>
  <si>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</si>
  <si>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</si>
  <si>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</si>
  <si>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</si>
  <si>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</si>
  <si>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</si>
  <si>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</si>
  <si>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</si>
  <si>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</si>
  <si>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</si>
  <si>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</si>
  <si>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</si>
  <si>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</si>
  <si>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</si>
  <si>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</si>
  <si>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</si>
  <si>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</si>
  <si>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</si>
  <si>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</si>
  <si>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</si>
  <si>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</si>
  <si>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</si>
  <si>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</si>
  <si>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</si>
  <si>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</si>
  <si>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</si>
  <si>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</si>
  <si>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</si>
  <si>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</si>
  <si>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</si>
  <si>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</si>
  <si>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</si>
  <si>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</si>
  <si>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</si>
  <si>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</si>
  <si>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</si>
  <si>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</si>
  <si>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</si>
  <si>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</si>
  <si>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</si>
  <si>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</si>
  <si>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</si>
  <si>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</si>
  <si>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</si>
  <si>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</si>
  <si>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</si>
  <si>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</si>
  <si>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</si>
  <si>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</si>
  <si>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</si>
  <si>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</si>
  <si>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</si>
  <si>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</si>
  <si>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</si>
  <si>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</si>
  <si>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</si>
  <si>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</si>
  <si>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</si>
  <si>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</si>
  <si>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</si>
  <si>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</si>
  <si>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</si>
  <si>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</si>
  <si>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</si>
  <si>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</si>
  <si>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</si>
  <si>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</si>
  <si>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</si>
  <si>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</si>
  <si>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</si>
  <si>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</si>
  <si>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</si>
  <si>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</si>
  <si>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</si>
  <si>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</si>
  <si>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</si>
  <si>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</si>
  <si>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</si>
  <si>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</si>
  <si>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</si>
  <si>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</si>
  <si>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</si>
  <si>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</si>
  <si>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</si>
  <si>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</si>
  <si>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</si>
  <si>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</si>
  <si>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</si>
  <si>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</si>
  <si>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</si>
  <si>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</si>
  <si>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</si>
  <si>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</si>
  <si>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</si>
  <si>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</si>
  <si>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</si>
  <si>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</si>
  <si>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</si>
  <si>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</si>
  <si>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</si>
  <si>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</si>
  <si>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</si>
  <si>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</si>
  <si>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</si>
  <si>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</si>
  <si>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</si>
  <si>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</si>
  <si>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</si>
  <si>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</si>
  <si>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</si>
  <si>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</si>
  <si>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</si>
  <si>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</si>
  <si>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</si>
  <si>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</si>
  <si>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</si>
  <si>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</si>
  <si>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</si>
  <si>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</si>
  <si>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</si>
  <si>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</si>
  <si>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</si>
  <si>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</si>
  <si>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</si>
  <si>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</si>
  <si>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</si>
  <si>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</si>
  <si>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</si>
  <si>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</si>
  <si>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</si>
  <si>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</si>
  <si>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</si>
  <si>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</si>
  <si>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</si>
  <si>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</si>
  <si>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</si>
  <si>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</si>
  <si>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</si>
  <si>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</si>
  <si>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</si>
  <si>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</si>
  <si>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</si>
  <si>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</si>
  <si>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</si>
  <si>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</si>
  <si>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</si>
  <si>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</si>
  <si>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</si>
  <si>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</si>
  <si>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</si>
  <si>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</si>
  <si>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</si>
  <si>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</si>
  <si>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</si>
  <si>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</si>
  <si>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</si>
  <si>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</si>
  <si>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</si>
  <si>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</si>
  <si>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</si>
  <si>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</si>
  <si>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</si>
  <si>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</si>
  <si>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</si>
  <si>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</si>
  <si>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</si>
  <si>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</si>
  <si>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</si>
  <si>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</si>
  <si>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</si>
  <si>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</si>
  <si>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</si>
  <si>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</si>
  <si>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</si>
  <si>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</si>
  <si>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</si>
  <si>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</si>
  <si>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</si>
  <si>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</si>
  <si>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</si>
  <si>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</si>
  <si>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</si>
  <si>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</si>
  <si>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</si>
  <si>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</si>
  <si>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</si>
  <si>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</si>
  <si>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</si>
  <si>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</si>
  <si>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</si>
  <si>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</si>
  <si>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</si>
  <si>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</si>
  <si>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</si>
  <si>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</si>
  <si>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</si>
  <si>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</si>
  <si>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</si>
  <si>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</si>
  <si>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</si>
  <si>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</si>
  <si>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</si>
  <si>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</si>
  <si>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</si>
  <si>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</si>
  <si>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</si>
  <si>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</si>
  <si>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</si>
  <si>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</si>
  <si>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</si>
  <si>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</si>
  <si>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</si>
  <si>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</si>
  <si>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</si>
  <si>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</si>
  <si>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</si>
  <si>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</si>
  <si>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</si>
  <si>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</si>
  <si>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</si>
  <si>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</si>
  <si>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</si>
  <si>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</si>
  <si>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</si>
  <si>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</si>
  <si>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</si>
  <si>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</si>
  <si>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</si>
  <si>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</si>
  <si>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</si>
  <si>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</si>
  <si>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</si>
  <si>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</si>
  <si>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</si>
  <si>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</si>
  <si>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</si>
  <si>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</si>
  <si>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</si>
  <si>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</si>
  <si>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</si>
  <si>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</si>
  <si>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</si>
  <si>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</si>
  <si>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</si>
  <si>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</si>
  <si>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</si>
  <si>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</si>
  <si>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</si>
  <si>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</si>
  <si>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</si>
  <si>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</si>
  <si>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</si>
  <si>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</si>
  <si>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</si>
  <si>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</si>
  <si>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</si>
  <si>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</si>
  <si>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</si>
  <si>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</si>
  <si>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</si>
  <si>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</si>
  <si>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</si>
  <si>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</si>
  <si>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</si>
  <si>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</si>
  <si>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</si>
  <si>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</si>
  <si>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</si>
  <si>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</si>
  <si>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</si>
  <si>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</si>
  <si>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</si>
  <si>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</si>
  <si>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</si>
  <si>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</si>
  <si>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</si>
  <si>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</si>
  <si>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</si>
  <si>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</si>
  <si>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</si>
  <si>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</si>
  <si>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</si>
  <si>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</si>
  <si>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</si>
  <si>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</si>
  <si>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</si>
  <si>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</si>
  <si>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</si>
  <si>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</si>
  <si>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</si>
  <si>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</si>
  <si>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</si>
  <si>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</si>
  <si>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</si>
  <si>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</si>
  <si>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</si>
  <si>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</si>
  <si>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</si>
  <si>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</si>
  <si>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</si>
  <si>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</si>
  <si>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</si>
  <si>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</si>
  <si>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</si>
  <si>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</si>
  <si>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</si>
  <si>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</si>
  <si>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</si>
  <si>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</si>
  <si>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</si>
  <si>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</si>
  <si>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</si>
  <si>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</si>
  <si>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</si>
  <si>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</si>
  <si>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</si>
  <si>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</si>
  <si>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</si>
  <si>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</si>
  <si>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</si>
  <si>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</si>
  <si>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</si>
  <si>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</si>
  <si>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</si>
  <si>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</si>
  <si>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</si>
  <si>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</si>
  <si>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</si>
  <si>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</si>
  <si>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</si>
  <si>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</si>
  <si>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</si>
  <si>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</si>
  <si>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</si>
  <si>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</si>
  <si>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</si>
  <si>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</si>
  <si>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</si>
  <si>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</si>
  <si>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</si>
  <si>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</si>
  <si>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</si>
  <si>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</si>
  <si>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</si>
  <si>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</si>
  <si>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</si>
  <si>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</si>
  <si>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</si>
  <si>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</si>
  <si>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</si>
  <si>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</si>
  <si>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</si>
  <si>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</si>
  <si>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</si>
  <si>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</si>
  <si>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</si>
  <si>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</si>
  <si>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</si>
  <si>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</si>
  <si>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</si>
  <si>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</si>
  <si>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</si>
  <si>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</si>
  <si>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</si>
  <si>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</si>
  <si>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</si>
  <si>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</si>
  <si>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</si>
  <si>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</si>
  <si>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</si>
  <si>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</si>
  <si>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</si>
  <si>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</si>
  <si>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</si>
  <si>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</si>
  <si>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</si>
  <si>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</si>
  <si>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</si>
  <si>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</si>
  <si>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</si>
  <si>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</si>
  <si>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</si>
  <si>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</si>
  <si>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</si>
  <si>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</si>
  <si>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</si>
  <si>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</si>
  <si>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</si>
  <si>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</si>
  <si>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</si>
  <si>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</si>
  <si>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</si>
  <si>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</si>
  <si>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</si>
  <si>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</si>
  <si>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</si>
  <si>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</si>
  <si>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</si>
  <si>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</si>
  <si>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</si>
  <si>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</si>
  <si>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</si>
  <si>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</si>
  <si>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</si>
  <si>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</si>
  <si>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</si>
  <si>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</si>
  <si>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</si>
  <si>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</si>
  <si>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</si>
  <si>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</si>
  <si>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</si>
  <si>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</si>
  <si>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</si>
  <si>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</si>
  <si>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</si>
  <si>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</si>
  <si>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</si>
  <si>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</si>
  <si>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</si>
  <si>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</si>
  <si>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</si>
  <si>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</si>
  <si>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</si>
  <si>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</si>
  <si>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</si>
  <si>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</si>
  <si>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</si>
  <si>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</si>
  <si>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</si>
  <si>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</si>
  <si>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</si>
  <si>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</si>
  <si>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</si>
  <si>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</si>
  <si>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</si>
  <si>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</si>
  <si>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</si>
  <si>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</si>
  <si>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</si>
  <si>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</si>
  <si>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</si>
  <si>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</si>
  <si>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</si>
  <si>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</si>
  <si>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</si>
  <si>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</si>
  <si>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</si>
  <si>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</si>
  <si>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</si>
  <si>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</si>
  <si>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</si>
  <si>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</si>
  <si>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</si>
  <si>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</si>
  <si>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</si>
  <si>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</si>
  <si>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</si>
  <si>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</si>
  <si>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</si>
  <si>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</si>
  <si>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</si>
  <si>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</si>
  <si>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</si>
  <si>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</si>
  <si>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</si>
  <si>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</si>
  <si>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</si>
  <si>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</si>
  <si>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</si>
  <si>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</si>
  <si>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</si>
  <si>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</si>
  <si>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</si>
  <si>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</si>
  <si>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</si>
  <si>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</si>
  <si>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</si>
  <si>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</si>
  <si>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</si>
  <si>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</si>
  <si>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</si>
  <si>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</si>
  <si>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</si>
  <si>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</si>
  <si>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</si>
  <si>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</si>
  <si>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</si>
  <si>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</si>
  <si>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</si>
  <si>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</si>
  <si>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</si>
  <si>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</si>
  <si>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</si>
  <si>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</si>
  <si>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</si>
  <si>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</si>
  <si>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</si>
  <si>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</si>
  <si>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</si>
  <si>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</si>
  <si>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</si>
  <si>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</si>
  <si>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</si>
  <si>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</si>
  <si>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</si>
  <si>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</si>
  <si>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</si>
  <si>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</si>
  <si>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</si>
  <si>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</si>
  <si>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</si>
  <si>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</si>
  <si>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</si>
  <si>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</si>
  <si>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</si>
  <si>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</si>
  <si>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</si>
  <si>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</si>
  <si>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</si>
  <si>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</si>
  <si>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</si>
  <si>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</si>
  <si>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</si>
  <si>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</si>
  <si>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</si>
  <si>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</si>
  <si>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</si>
  <si>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</si>
  <si>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</si>
  <si>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</si>
  <si>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</si>
  <si>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</si>
  <si>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</si>
  <si>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</si>
  <si>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</si>
  <si>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</si>
  <si>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</si>
  <si>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</si>
  <si>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</si>
  <si>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</si>
  <si>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</si>
  <si>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</si>
  <si>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</si>
  <si>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</si>
  <si>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</si>
  <si>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</si>
  <si>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</si>
  <si>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</si>
  <si>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</si>
  <si>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</si>
  <si>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</si>
  <si>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</si>
  <si>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</si>
  <si>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</si>
  <si>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</si>
  <si>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</si>
  <si>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</si>
  <si>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</si>
  <si>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</si>
  <si>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</si>
  <si>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</si>
  <si>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</si>
  <si>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</si>
  <si>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</si>
  <si>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</si>
  <si>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</si>
  <si>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</si>
  <si>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</si>
  <si>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</si>
  <si>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</si>
  <si>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</si>
  <si>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</si>
  <si>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</si>
  <si>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</si>
  <si>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</si>
  <si>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</si>
  <si>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</si>
  <si>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</si>
  <si>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</si>
  <si>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</si>
  <si>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</si>
  <si>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</si>
  <si>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</si>
  <si>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</si>
  <si>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</si>
  <si>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</si>
  <si>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</si>
  <si>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</si>
  <si>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</si>
  <si>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</si>
  <si>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</si>
  <si>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</si>
  <si>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</si>
  <si>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</si>
  <si>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</si>
  <si>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</si>
  <si>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</si>
  <si>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</si>
  <si>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</si>
  <si>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</si>
  <si>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</si>
  <si>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</si>
  <si>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</si>
  <si>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</si>
  <si>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</si>
  <si>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</si>
  <si>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</si>
  <si>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</si>
  <si>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</si>
  <si>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</si>
  <si>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</si>
  <si>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</si>
  <si>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</si>
  <si>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</si>
  <si>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</si>
  <si>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</si>
  <si>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</si>
  <si>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</si>
  <si>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</si>
  <si>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</si>
  <si>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</si>
  <si>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</si>
  <si>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</si>
  <si>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</si>
  <si>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</si>
  <si>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</si>
  <si>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</si>
  <si>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</si>
  <si>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</si>
  <si>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</si>
  <si>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</si>
  <si>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</si>
  <si>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</si>
  <si>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</si>
  <si>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</si>
  <si>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</si>
  <si>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</si>
  <si>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</si>
  <si>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</si>
  <si>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</si>
  <si>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</si>
  <si>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</si>
  <si>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</si>
  <si>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</si>
  <si>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</si>
  <si>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</si>
  <si>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</si>
  <si>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</si>
  <si>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</si>
  <si>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</si>
  <si>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</si>
  <si>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</si>
  <si>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</si>
  <si>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</si>
  <si>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</si>
  <si>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</si>
  <si>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</si>
  <si>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</si>
  <si>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</si>
  <si>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</si>
  <si>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</si>
  <si>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</si>
  <si>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</si>
  <si>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</si>
  <si>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</si>
  <si>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</si>
  <si>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</si>
  <si>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</si>
  <si>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</si>
  <si>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</si>
  <si>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</si>
  <si>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</si>
  <si>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</si>
  <si>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</si>
  <si>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</si>
  <si>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</si>
  <si>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</si>
  <si>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</si>
  <si>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</si>
  <si>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</si>
  <si>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</si>
  <si>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</si>
  <si>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</si>
  <si>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</si>
  <si>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</si>
  <si>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</si>
  <si>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</si>
  <si>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</si>
  <si>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</si>
  <si>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</si>
  <si>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</si>
  <si>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</si>
  <si>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</si>
  <si>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</si>
  <si>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</si>
  <si>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</si>
  <si>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</si>
  <si>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</si>
  <si>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</si>
  <si>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</si>
  <si>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</si>
  <si>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</si>
  <si>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</si>
  <si>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</si>
  <si>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</si>
  <si>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</si>
  <si>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</si>
  <si>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</si>
  <si>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</si>
  <si>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</si>
  <si>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</si>
  <si>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</si>
  <si>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</si>
  <si>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</si>
  <si>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</si>
  <si>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</si>
  <si>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</si>
  <si>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</si>
  <si>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</si>
  <si>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</si>
  <si>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</si>
  <si>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</si>
  <si>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</si>
  <si>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</si>
  <si>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</si>
  <si>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</si>
  <si>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</si>
  <si>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</si>
  <si>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</si>
  <si>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</si>
  <si>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</si>
  <si>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</si>
  <si>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</si>
  <si>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</si>
  <si>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</si>
  <si>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</si>
  <si>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</si>
  <si>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</si>
  <si>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</si>
  <si>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</si>
  <si>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</si>
  <si>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</si>
  <si>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</si>
  <si>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</si>
  <si>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</si>
  <si>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</si>
  <si>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</si>
  <si>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</si>
  <si>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</si>
  <si>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</si>
  <si>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</si>
  <si>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</si>
  <si>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</si>
  <si>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</si>
  <si>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</si>
  <si>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</si>
  <si>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</si>
  <si>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</si>
  <si>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</si>
  <si>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</si>
  <si>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</si>
  <si>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</si>
  <si>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</si>
  <si>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</si>
  <si>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</si>
  <si>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</si>
  <si>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</si>
  <si>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</si>
  <si>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</si>
  <si>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</si>
  <si>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</si>
  <si>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</si>
  <si>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</si>
  <si>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</si>
  <si>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</si>
  <si>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</si>
  <si>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</si>
  <si>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</si>
  <si>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</si>
  <si>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</si>
  <si>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</si>
  <si>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</si>
  <si>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</si>
  <si>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</si>
  <si>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</si>
  <si>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</si>
  <si>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</si>
  <si>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</si>
  <si>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</si>
  <si>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</si>
  <si>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</si>
  <si>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</si>
  <si>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</si>
  <si>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</si>
  <si>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</si>
  <si>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</si>
  <si>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</si>
  <si>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</si>
  <si>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</si>
  <si>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</si>
  <si>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</si>
  <si>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</si>
  <si>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</si>
  <si>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</si>
  <si>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</si>
  <si>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</si>
  <si>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</si>
  <si>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</si>
  <si>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</si>
  <si>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</si>
  <si>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</si>
  <si>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</si>
  <si>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</si>
  <si>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</si>
  <si>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</si>
  <si>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</si>
  <si>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</si>
  <si>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</si>
  <si>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</si>
  <si>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</si>
  <si>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</si>
  <si>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</si>
  <si>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</si>
  <si>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</si>
  <si>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</si>
  <si>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</si>
  <si>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</si>
  <si>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</si>
  <si>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</si>
  <si>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</si>
  <si>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</si>
  <si>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</si>
  <si>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</si>
  <si>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</si>
  <si>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</si>
  <si>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</si>
  <si>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</si>
  <si>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</si>
  <si>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</si>
  <si>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</si>
  <si>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</si>
  <si>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</si>
  <si>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</si>
  <si>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</si>
  <si>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</si>
  <si>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</si>
  <si>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</si>
  <si>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</si>
  <si>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</si>
  <si>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</si>
  <si>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</si>
  <si>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</si>
  <si>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</si>
  <si>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</si>
  <si>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</si>
  <si>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</si>
  <si>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</si>
  <si>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</si>
  <si>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</si>
  <si>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</si>
  <si>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</si>
  <si>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</si>
  <si>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</si>
  <si>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</si>
  <si>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</si>
  <si>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</si>
  <si>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</si>
  <si>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</si>
  <si>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</si>
  <si>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</si>
  <si>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</si>
  <si>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</si>
  <si>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</si>
  <si>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</si>
  <si>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</si>
  <si>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</si>
  <si>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</si>
  <si>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</si>
  <si>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</si>
  <si>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</si>
  <si>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</si>
  <si>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</si>
  <si>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</si>
  <si>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</si>
  <si>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</si>
  <si>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</si>
  <si>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</si>
  <si>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</si>
  <si>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</si>
  <si>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</si>
  <si>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</si>
  <si>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</si>
  <si>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</si>
  <si>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</si>
  <si>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</si>
  <si>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</si>
  <si>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</si>
  <si>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</si>
  <si>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</si>
  <si>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</si>
  <si>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</si>
  <si>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</si>
  <si>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</si>
  <si>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</si>
  <si>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</si>
  <si>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</si>
  <si>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</si>
  <si>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</si>
  <si>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</si>
  <si>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</si>
  <si>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</si>
  <si>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</si>
  <si>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</si>
  <si>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</si>
  <si>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</si>
  <si>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</si>
  <si>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</si>
  <si>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</si>
  <si>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</si>
  <si>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</si>
  <si>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</si>
  <si>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</si>
  <si>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</si>
  <si>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</si>
  <si>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</si>
  <si>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</si>
  <si>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</si>
  <si>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</si>
  <si>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</si>
  <si>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</si>
  <si>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</si>
  <si>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</si>
  <si>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</si>
  <si>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</si>
  <si>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</si>
  <si>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</si>
  <si>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</si>
  <si>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</si>
  <si>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</si>
  <si>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</si>
  <si>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</si>
  <si>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</si>
  <si>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</si>
  <si>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</si>
  <si>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</si>
  <si>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</si>
  <si>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</si>
  <si>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</si>
  <si>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</si>
  <si>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</si>
  <si>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</si>
  <si>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</si>
  <si>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</si>
  <si>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</si>
  <si>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</si>
  <si>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</si>
  <si>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</si>
  <si>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</si>
  <si>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</si>
  <si>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</si>
  <si>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</si>
  <si>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</si>
  <si>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</si>
  <si>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</si>
  <si>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</si>
  <si>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</si>
  <si>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</si>
  <si>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</si>
  <si>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</si>
  <si>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</si>
  <si>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</si>
  <si>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</si>
  <si>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</si>
  <si>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</si>
  <si>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</si>
  <si>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</si>
  <si>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</si>
  <si>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</si>
  <si>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</si>
  <si>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</si>
  <si>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</si>
  <si>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</si>
  <si>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</si>
  <si>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</si>
  <si>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</si>
  <si>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</si>
  <si>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</si>
  <si>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</si>
  <si>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</si>
  <si>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</si>
  <si>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</si>
  <si>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</si>
  <si>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</si>
  <si>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</si>
  <si>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</si>
  <si>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</si>
  <si>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</si>
  <si>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</si>
  <si>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</si>
  <si>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</si>
  <si>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</si>
  <si>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</si>
  <si>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</si>
  <si>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</si>
  <si>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</si>
  <si>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</si>
  <si>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</si>
  <si>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</si>
  <si>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</si>
  <si>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</si>
  <si>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</si>
  <si>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</si>
  <si>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</si>
  <si>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</si>
  <si>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</si>
  <si>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</si>
  <si>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</si>
  <si>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</si>
  <si>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</si>
  <si>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</si>
  <si>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</si>
  <si>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</si>
  <si>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</si>
  <si>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</si>
  <si>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</si>
  <si>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</si>
  <si>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</si>
  <si>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</si>
  <si>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</si>
  <si>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</si>
  <si>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</si>
  <si>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</si>
  <si>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</si>
  <si>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</si>
  <si>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</si>
  <si>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</si>
  <si>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</si>
  <si>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</si>
  <si>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</si>
  <si>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</si>
  <si>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</si>
  <si>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</si>
  <si>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</si>
  <si>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</si>
  <si>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</si>
  <si>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</si>
  <si>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</si>
  <si>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</si>
  <si>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</si>
  <si>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</si>
  <si>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</si>
  <si>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</si>
  <si>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</si>
  <si>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</si>
  <si>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</si>
  <si>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</si>
  <si>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</si>
  <si>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</si>
  <si>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</si>
  <si>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</si>
  <si>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</si>
  <si>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</si>
  <si>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</si>
  <si>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</si>
  <si>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</si>
  <si>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</si>
  <si>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</si>
  <si>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</si>
  <si>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</si>
  <si>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</si>
  <si>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</si>
  <si>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</si>
  <si>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</si>
  <si>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</si>
  <si>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</si>
  <si>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</si>
  <si>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</si>
  <si>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</si>
  <si>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</si>
  <si>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</si>
  <si>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</si>
  <si>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</si>
  <si>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</si>
  <si>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</si>
  <si>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</si>
  <si>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</si>
  <si>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</si>
  <si>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</si>
  <si>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</si>
  <si>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</si>
  <si>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</si>
  <si>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</si>
  <si>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</si>
  <si>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</si>
  <si>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</si>
  <si>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</si>
  <si>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</si>
  <si>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</si>
  <si>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</si>
  <si>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</si>
  <si>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</si>
  <si>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</si>
  <si>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</si>
  <si>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</si>
  <si>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</si>
  <si>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</si>
  <si>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</si>
  <si>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</si>
  <si>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</si>
  <si>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</si>
  <si>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</si>
  <si>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</si>
  <si>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</si>
  <si>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</si>
  <si>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</si>
  <si>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</si>
  <si>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</si>
  <si>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</si>
  <si>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</si>
  <si>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</si>
  <si>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</si>
  <si>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</si>
  <si>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</si>
  <si>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</si>
  <si>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</si>
  <si>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</si>
  <si>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</si>
  <si>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</si>
  <si>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</si>
  <si>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</si>
  <si>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</si>
  <si>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</si>
  <si>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</si>
  <si>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</si>
  <si>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</si>
  <si>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</si>
  <si>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</si>
  <si>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</si>
  <si>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</si>
  <si>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</si>
  <si>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</si>
  <si>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</si>
  <si>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</si>
  <si>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</si>
  <si>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</si>
  <si>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</si>
  <si>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</si>
  <si>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</si>
  <si>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</si>
  <si>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</si>
  <si>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</si>
  <si>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</si>
  <si>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</si>
  <si>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</si>
  <si>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</si>
  <si>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</si>
  <si>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</si>
  <si>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</si>
  <si>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</si>
  <si>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</si>
  <si>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</si>
  <si>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</si>
  <si>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</si>
  <si>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</si>
  <si>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</si>
  <si>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</si>
  <si>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</si>
  <si>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</si>
  <si>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</si>
  <si>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</si>
  <si>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</si>
  <si>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</si>
  <si>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</si>
  <si>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</si>
  <si>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</si>
  <si>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</si>
  <si>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</si>
  <si>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</si>
  <si>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</si>
  <si>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</si>
  <si>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</si>
  <si>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</si>
  <si>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</si>
  <si>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</si>
  <si>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</si>
  <si>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</si>
  <si>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</si>
  <si>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</si>
  <si>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</si>
  <si>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</si>
  <si>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</si>
  <si>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</si>
  <si>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</si>
  <si>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</si>
  <si>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</si>
  <si>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</si>
  <si>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</si>
  <si>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</si>
  <si>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</si>
  <si>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</si>
  <si>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</si>
  <si>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</si>
  <si>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</si>
  <si>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</si>
  <si>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</si>
  <si>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</si>
  <si>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</si>
  <si>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</si>
  <si>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</si>
  <si>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</si>
  <si>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</si>
  <si>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</si>
  <si>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</si>
  <si>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</si>
  <si>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</si>
  <si>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</si>
  <si>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</si>
  <si>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</si>
  <si>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</si>
  <si>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</si>
  <si>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</si>
  <si>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</si>
  <si>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</si>
  <si>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</si>
  <si>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</si>
  <si>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</si>
  <si>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</si>
  <si>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</si>
  <si>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</si>
  <si>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</si>
  <si>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</si>
  <si>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</si>
  <si>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</si>
  <si>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</si>
  <si>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</si>
  <si>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</si>
  <si>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</si>
  <si>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</si>
  <si>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</si>
  <si>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</si>
  <si>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</si>
  <si>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</si>
  <si>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</si>
  <si>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</si>
  <si>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</si>
  <si>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</si>
  <si>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</si>
  <si>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</si>
  <si>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</si>
  <si>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</si>
  <si>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</si>
  <si>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</si>
  <si>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</si>
  <si>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</si>
  <si>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</si>
  <si>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</si>
  <si>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</si>
  <si>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</si>
  <si>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</si>
  <si>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</si>
  <si>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</si>
  <si>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</si>
  <si>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</si>
  <si>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</si>
  <si>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</si>
  <si>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</si>
  <si>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</si>
  <si>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</si>
  <si>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</si>
  <si>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</si>
  <si>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</si>
  <si>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</si>
  <si>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</si>
  <si>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</si>
  <si>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</si>
  <si>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</si>
  <si>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</si>
  <si>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</si>
  <si>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</si>
  <si>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</si>
  <si>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</si>
  <si>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</si>
  <si>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</si>
  <si>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</si>
  <si>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</si>
  <si>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</si>
  <si>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</si>
  <si>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</si>
  <si>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</si>
  <si>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</si>
  <si>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</si>
  <si>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</si>
  <si>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</si>
  <si>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</si>
  <si>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</si>
  <si>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</si>
  <si>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</si>
  <si>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</si>
  <si>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</si>
  <si>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</si>
  <si>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</si>
  <si>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</si>
  <si>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</si>
  <si>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</si>
  <si>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</si>
  <si>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</si>
  <si>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</si>
  <si>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</si>
  <si>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</si>
  <si>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</si>
  <si>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</si>
  <si>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</si>
  <si>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</si>
  <si>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</si>
  <si>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</si>
  <si>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</si>
  <si>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</si>
  <si>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</si>
  <si>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</si>
  <si>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</si>
  <si>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</si>
  <si>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</si>
  <si>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</si>
  <si>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</si>
  <si>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</si>
  <si>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</si>
  <si>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</si>
  <si>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</si>
  <si>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</si>
  <si>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</si>
  <si>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</si>
  <si>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</si>
  <si>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</si>
  <si>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</si>
  <si>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</si>
  <si>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</si>
  <si>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</si>
  <si>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</si>
  <si>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</si>
  <si>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</si>
  <si>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</si>
  <si>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</si>
  <si>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</si>
  <si>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</si>
  <si>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</si>
  <si>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</si>
  <si>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</si>
  <si>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</si>
  <si>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</si>
  <si>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</si>
  <si>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</si>
  <si>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</si>
  <si>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</si>
  <si>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</si>
  <si>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</si>
  <si>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</si>
  <si>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</si>
  <si>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</si>
  <si>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</si>
  <si>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</si>
  <si>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</si>
  <si>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</si>
  <si>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</si>
  <si>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</si>
  <si>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</si>
  <si>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</si>
  <si>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</si>
  <si>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</si>
  <si>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</si>
  <si>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</si>
  <si>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</si>
  <si>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</si>
  <si>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</si>
  <si>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</si>
  <si>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</si>
  <si>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</si>
  <si>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</si>
  <si>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</si>
  <si>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</si>
  <si>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</si>
  <si>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</si>
  <si>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</si>
  <si>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</si>
  <si>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</si>
  <si>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</si>
  <si>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</si>
  <si>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</si>
  <si>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</si>
  <si>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</si>
  <si>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</si>
  <si>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</si>
  <si>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</si>
  <si>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</si>
  <si>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</si>
  <si>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</si>
  <si>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</si>
  <si>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</si>
  <si>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</si>
  <si>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</si>
  <si>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</si>
  <si>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</si>
  <si>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</si>
  <si>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</si>
  <si>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</si>
  <si>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</si>
  <si>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</si>
  <si>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</si>
  <si>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</si>
  <si>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</si>
  <si>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</si>
  <si>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</si>
  <si>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</si>
  <si>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</si>
  <si>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</si>
  <si>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</si>
  <si>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</si>
  <si>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</si>
  <si>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</si>
  <si>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</si>
  <si>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</si>
  <si>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</si>
  <si>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</si>
  <si>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</si>
  <si>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</si>
  <si>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</si>
  <si>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</si>
  <si>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</si>
  <si>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</si>
  <si>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</si>
  <si>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</si>
  <si>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</si>
  <si>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</si>
  <si>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</si>
  <si>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</si>
  <si>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</si>
  <si>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</si>
  <si>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</si>
  <si>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</si>
  <si>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</si>
  <si>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</si>
  <si>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</si>
  <si>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</si>
  <si>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</si>
  <si>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</si>
  <si>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</si>
  <si>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</si>
  <si>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</si>
  <si>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</si>
  <si>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</si>
  <si>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</si>
  <si>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</si>
  <si>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</si>
  <si>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</si>
  <si>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</si>
  <si>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</si>
  <si>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</si>
  <si>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</si>
  <si>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</si>
  <si>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</si>
  <si>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</si>
  <si>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</si>
  <si>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</si>
  <si>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</si>
  <si>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</si>
  <si>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</si>
  <si>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</si>
  <si>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</si>
  <si>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</si>
  <si>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</si>
  <si>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</si>
  <si>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</si>
  <si>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</si>
  <si>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</si>
  <si>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</si>
  <si>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</si>
  <si>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</si>
  <si>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</si>
  <si>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</si>
  <si>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</si>
  <si>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</si>
  <si>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</si>
  <si>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</si>
  <si>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</si>
  <si>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</si>
  <si>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</si>
  <si>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</si>
  <si>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</si>
  <si>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</si>
  <si>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</si>
  <si>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</si>
  <si>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</si>
  <si>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</si>
  <si>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</si>
  <si>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</si>
  <si>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</si>
  <si>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</si>
  <si>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</si>
  <si>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</si>
  <si>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</si>
  <si>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</si>
  <si>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</si>
  <si>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</si>
  <si>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</si>
  <si>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</si>
  <si>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</si>
  <si>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</si>
  <si>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</si>
  <si>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</si>
  <si>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</si>
  <si>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</si>
  <si>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</si>
  <si>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</si>
  <si>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</si>
  <si>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</si>
  <si>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</si>
  <si>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</si>
  <si>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</si>
  <si>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</si>
  <si>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</si>
  <si>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</si>
  <si>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</si>
  <si>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</si>
  <si>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</si>
  <si>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</si>
  <si>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</si>
  <si>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</si>
  <si>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</si>
  <si>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</si>
  <si>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</si>
  <si>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</si>
  <si>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</si>
  <si>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</si>
  <si>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</si>
  <si>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</si>
  <si>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</si>
  <si>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</si>
  <si>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</si>
  <si>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</si>
  <si>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</si>
  <si>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</si>
  <si>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</si>
  <si>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</si>
  <si>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</si>
  <si>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</si>
  <si>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</si>
  <si>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</si>
  <si>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</si>
  <si>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</si>
  <si>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</si>
  <si>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</si>
  <si>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</si>
  <si>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</si>
  <si>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</si>
  <si>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</si>
  <si>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</si>
  <si>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</si>
  <si>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</si>
  <si>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</si>
  <si>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</si>
  <si>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</si>
  <si>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</si>
  <si>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</si>
  <si>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</si>
  <si>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</si>
  <si>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</si>
  <si>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</si>
  <si>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</si>
  <si>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</si>
  <si>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</si>
  <si>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</si>
  <si>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</si>
  <si>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</si>
  <si>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</si>
  <si>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</si>
  <si>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</si>
  <si>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</si>
  <si>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</si>
  <si>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</si>
  <si>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</si>
  <si>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</si>
  <si>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</si>
  <si>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</si>
  <si>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</si>
  <si>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</si>
  <si>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</si>
  <si>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</si>
  <si>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</si>
  <si>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</si>
  <si>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</si>
  <si>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</si>
  <si>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</si>
  <si>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</si>
  <si>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</si>
  <si>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</si>
  <si>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</si>
  <si>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</si>
  <si>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</si>
  <si>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</si>
  <si>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</si>
  <si>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</si>
  <si>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</si>
  <si>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</si>
  <si>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</si>
  <si>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</si>
  <si>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</si>
  <si>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</si>
  <si>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</si>
  <si>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</si>
  <si>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</si>
  <si>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</si>
  <si>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</si>
  <si>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</si>
  <si>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</si>
  <si>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</si>
  <si>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</si>
  <si>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</si>
  <si>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</si>
  <si>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</si>
  <si>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</si>
  <si>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</si>
  <si>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</si>
  <si>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</si>
  <si>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</si>
  <si>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</si>
  <si>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</si>
  <si>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</si>
  <si>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</si>
  <si>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</si>
  <si>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</si>
  <si>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</si>
  <si>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</si>
  <si>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</si>
  <si>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</si>
  <si>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</si>
  <si>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</si>
  <si>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</si>
  <si>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</si>
  <si>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</si>
  <si>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</si>
  <si>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</si>
  <si>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</si>
  <si>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</si>
  <si>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</si>
  <si>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</si>
  <si>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</si>
  <si>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</si>
  <si>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</si>
  <si>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</si>
  <si>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</si>
  <si>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</si>
  <si>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</si>
  <si>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</si>
  <si>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</si>
  <si>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</si>
  <si>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</si>
  <si>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</si>
  <si>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</si>
  <si>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</si>
  <si>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</si>
  <si>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</si>
  <si>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</si>
  <si>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</si>
  <si>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</si>
  <si>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</si>
  <si>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</si>
  <si>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</si>
  <si>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</si>
  <si>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</si>
  <si>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</si>
  <si>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</si>
  <si>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</si>
  <si>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</si>
  <si>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</si>
  <si>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</si>
  <si>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</si>
  <si>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</si>
  <si>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</si>
  <si>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</si>
  <si>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</si>
  <si>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</si>
  <si>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</si>
  <si>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</si>
  <si>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</si>
  <si>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</si>
  <si>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</si>
  <si>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</si>
  <si>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</si>
  <si>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</si>
  <si>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</si>
  <si>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</si>
  <si>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</si>
  <si>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</si>
  <si>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</si>
  <si>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</si>
  <si>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</si>
  <si>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</si>
  <si>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</si>
  <si>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</si>
  <si>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</si>
  <si>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</si>
  <si>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</si>
  <si>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</si>
  <si>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</si>
  <si>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</si>
  <si>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</si>
  <si>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</si>
  <si>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</si>
  <si>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</si>
  <si>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</si>
  <si>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</si>
  <si>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</si>
  <si>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</si>
  <si>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</si>
  <si>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</si>
  <si>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</si>
  <si>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</si>
  <si>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</si>
  <si>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</si>
  <si>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</si>
  <si>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</si>
  <si>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</si>
  <si>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</si>
  <si>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</si>
  <si>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</si>
  <si>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</si>
  <si>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</si>
  <si>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</si>
  <si>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</si>
  <si>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</si>
  <si>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</si>
  <si>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</si>
  <si>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</si>
  <si>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</si>
  <si>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</si>
  <si>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</si>
  <si>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</si>
  <si>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</si>
  <si>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</si>
  <si>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</si>
  <si>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</si>
  <si>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</si>
  <si>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</si>
  <si>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</si>
  <si>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</si>
  <si>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</si>
  <si>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</si>
  <si>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</si>
  <si>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</si>
  <si>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</si>
  <si>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</si>
  <si>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</si>
  <si>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</si>
  <si>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</si>
  <si>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</si>
  <si>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</si>
  <si>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</si>
  <si>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</si>
  <si>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</si>
  <si>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</si>
  <si>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</si>
  <si>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</si>
  <si>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</si>
  <si>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</si>
  <si>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</si>
  <si>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</si>
  <si>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</si>
  <si>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</si>
  <si>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</si>
  <si>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</si>
  <si>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</si>
  <si>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</si>
  <si>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</si>
  <si>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</si>
  <si>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</si>
  <si>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</si>
  <si>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</si>
  <si>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</si>
  <si>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</si>
  <si>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</si>
  <si>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</si>
  <si>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</si>
  <si>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</si>
  <si>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</si>
  <si>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</si>
  <si>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</si>
  <si>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</si>
  <si>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</si>
  <si>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</si>
  <si>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</si>
  <si>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</si>
  <si>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</si>
  <si>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</si>
  <si>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</si>
  <si>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</si>
  <si>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</si>
  <si>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</si>
  <si>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</si>
  <si>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</si>
  <si>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</si>
  <si>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</si>
  <si>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</si>
  <si>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</si>
  <si>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</si>
  <si>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</si>
  <si>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</si>
  <si>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</si>
  <si>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</si>
  <si>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</si>
  <si>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</si>
  <si>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</si>
  <si>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</si>
  <si>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</si>
  <si>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</si>
  <si>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</si>
  <si>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</si>
  <si>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</si>
  <si>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</si>
  <si>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</si>
  <si>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</si>
  <si>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</si>
  <si>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</si>
  <si>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</si>
  <si>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</si>
  <si>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</si>
  <si>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</si>
  <si>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</si>
  <si>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</si>
  <si>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</si>
  <si>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</si>
  <si>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</si>
  <si>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</si>
  <si>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</si>
  <si>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</si>
  <si>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</si>
  <si>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</si>
  <si>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</si>
  <si>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</si>
  <si>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</si>
  <si>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</si>
  <si>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</si>
  <si>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</si>
  <si>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</si>
  <si>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</si>
  <si>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</si>
  <si>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</si>
  <si>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</si>
  <si>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</si>
  <si>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</si>
  <si>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</si>
  <si>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</si>
  <si>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</si>
  <si>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</si>
  <si>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</si>
  <si>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</si>
  <si>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</si>
  <si>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</si>
  <si>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</si>
  <si>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</si>
  <si>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</si>
  <si>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</si>
  <si>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</si>
  <si>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</si>
  <si>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</si>
  <si>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</si>
  <si>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</si>
  <si>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</si>
  <si>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</si>
  <si>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</si>
  <si>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</si>
  <si>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</si>
  <si>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</si>
  <si>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</si>
  <si>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</si>
  <si>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</si>
  <si>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</si>
  <si>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</si>
  <si>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</si>
  <si>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</si>
  <si>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</si>
  <si>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</si>
  <si>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</si>
  <si>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</si>
  <si>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</si>
  <si>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</si>
  <si>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</si>
  <si>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</si>
  <si>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</si>
  <si>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</si>
  <si>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</si>
  <si>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</si>
  <si>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</si>
  <si>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</si>
  <si>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</si>
  <si>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</si>
  <si>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</si>
  <si>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</si>
  <si>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</si>
  <si>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</si>
  <si>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</si>
  <si>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</si>
  <si>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</si>
  <si>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</si>
  <si>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</si>
  <si>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</si>
  <si>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</si>
  <si>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</si>
  <si>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</si>
  <si>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</si>
  <si>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</si>
  <si>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</si>
  <si>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</si>
  <si>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</si>
  <si>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</si>
  <si>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</si>
  <si>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</si>
  <si>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</si>
  <si>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</si>
  <si>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</si>
  <si>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</si>
  <si>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</si>
  <si>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</si>
  <si>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</si>
  <si>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</si>
  <si>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</si>
  <si>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</si>
  <si>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</si>
  <si>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</si>
  <si>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</si>
  <si>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</si>
  <si>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</si>
  <si>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</si>
  <si>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</si>
  <si>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</si>
  <si>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</si>
  <si>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</si>
  <si>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</si>
  <si>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</si>
  <si>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</si>
  <si>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</si>
  <si>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</si>
  <si>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</si>
  <si>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</si>
  <si>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</si>
  <si>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</si>
  <si>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</si>
  <si>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</si>
  <si>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</si>
  <si>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</si>
  <si>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</si>
  <si>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</si>
  <si>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</si>
  <si>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</si>
  <si>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</si>
  <si>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</si>
  <si>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</si>
  <si>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</si>
  <si>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</si>
  <si>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</si>
  <si>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</si>
  <si>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</si>
  <si>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</si>
  <si>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</si>
  <si>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</si>
  <si>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</si>
  <si>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</si>
  <si>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</si>
  <si>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</si>
  <si>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</si>
  <si>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</si>
  <si>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</si>
  <si>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</si>
  <si>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</si>
  <si>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</si>
  <si>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</si>
  <si>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</si>
  <si>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</si>
  <si>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</si>
  <si>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</si>
  <si>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</si>
  <si>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</si>
  <si>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</si>
  <si>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</si>
  <si>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</si>
  <si>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</si>
  <si>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</si>
  <si>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</si>
  <si>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</si>
  <si>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</si>
  <si>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</si>
  <si>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</si>
  <si>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</si>
  <si>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</si>
  <si>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</si>
  <si>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</si>
  <si>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</si>
  <si>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</si>
  <si>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</si>
  <si>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</si>
  <si>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</si>
  <si>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</si>
  <si>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</si>
  <si>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</si>
  <si>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</si>
  <si>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</si>
  <si>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</si>
  <si>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</si>
  <si>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</si>
  <si>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</si>
  <si>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</si>
  <si>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</si>
  <si>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</si>
  <si>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</si>
  <si>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</si>
  <si>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</si>
  <si>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</si>
  <si>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</si>
  <si>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</si>
  <si>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</si>
  <si>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</si>
  <si>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</si>
  <si>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</si>
  <si>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</si>
  <si>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</si>
  <si>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</si>
  <si>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</si>
  <si>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</si>
  <si>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</si>
  <si>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</si>
  <si>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</si>
  <si>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</si>
  <si>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</si>
  <si>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</si>
  <si>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</si>
  <si>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</si>
  <si>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</si>
  <si>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</si>
  <si>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</si>
  <si>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</si>
  <si>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</si>
  <si>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</si>
  <si>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</si>
  <si>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</si>
  <si>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</si>
  <si>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</si>
  <si>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</si>
  <si>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</si>
  <si>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</si>
  <si>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</si>
  <si>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</si>
  <si>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</si>
  <si>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</si>
  <si>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</si>
  <si>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</si>
  <si>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</si>
  <si>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</si>
  <si>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</si>
  <si>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</si>
  <si>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</si>
  <si>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</si>
  <si>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</si>
  <si>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</si>
  <si>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</si>
  <si>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</si>
  <si>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</si>
  <si>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</si>
  <si>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</si>
  <si>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</si>
  <si>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</si>
  <si>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</si>
  <si>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</si>
  <si>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</si>
  <si>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</si>
  <si>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</si>
  <si>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</si>
  <si>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</si>
  <si>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</si>
  <si>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</si>
  <si>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</si>
  <si>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</si>
  <si>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</si>
  <si>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</si>
  <si>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</si>
  <si>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</si>
  <si>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</si>
  <si>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</si>
  <si>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</si>
  <si>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</si>
  <si>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</si>
  <si>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</si>
  <si>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</si>
  <si>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</si>
  <si>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</si>
  <si>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</si>
  <si>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</si>
  <si>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</si>
  <si>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</si>
  <si>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</si>
  <si>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</si>
  <si>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</si>
  <si>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</si>
  <si>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</si>
  <si>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</si>
  <si>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</si>
  <si>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</si>
  <si>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</si>
  <si>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</si>
  <si>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</si>
  <si>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</si>
  <si>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</si>
  <si>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</si>
  <si>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</si>
  <si>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</si>
  <si>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</si>
  <si>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</si>
  <si>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</si>
  <si>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</si>
  <si>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</si>
  <si>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</si>
  <si>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</si>
  <si>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</si>
  <si>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</si>
  <si>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</si>
  <si>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</si>
  <si>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</si>
  <si>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</si>
  <si>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</si>
  <si>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</si>
  <si>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</si>
  <si>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</si>
  <si>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</si>
  <si>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</si>
  <si>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</si>
  <si>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</si>
  <si>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</si>
  <si>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</si>
  <si>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</si>
  <si>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</si>
  <si>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</si>
  <si>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</si>
  <si>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</si>
  <si>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</si>
  <si>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</si>
  <si>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</si>
  <si>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</si>
  <si>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</si>
  <si>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</si>
  <si>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</si>
  <si>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</si>
  <si>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</si>
  <si>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</si>
  <si>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</si>
  <si>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</si>
  <si>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</si>
  <si>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</si>
  <si>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</si>
  <si>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</si>
  <si>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</si>
  <si>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</si>
  <si>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</si>
  <si>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</si>
  <si>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</si>
  <si>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</si>
  <si>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</si>
  <si>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</si>
  <si>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</si>
  <si>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</si>
  <si>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</si>
  <si>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</si>
  <si>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</si>
  <si>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</si>
  <si>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</si>
  <si>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</si>
  <si>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</si>
  <si>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</si>
  <si>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</si>
  <si>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</si>
  <si>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</si>
  <si>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</si>
  <si>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</si>
  <si>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</si>
  <si>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</si>
  <si>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</si>
  <si>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</si>
  <si>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</si>
  <si>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</si>
  <si>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</si>
  <si>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</si>
  <si>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</si>
  <si>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</si>
  <si>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</si>
  <si>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</si>
  <si>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</si>
  <si>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</si>
  <si>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</si>
  <si>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</si>
  <si>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</si>
  <si>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</si>
  <si>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</si>
  <si>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</si>
  <si>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</si>
  <si>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</si>
  <si>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</si>
  <si>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</si>
  <si>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</si>
  <si>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</si>
  <si>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</si>
  <si>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</si>
  <si>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</si>
  <si>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</si>
  <si>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</si>
  <si>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</si>
  <si>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</si>
  <si>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</si>
  <si>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</si>
  <si>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</si>
  <si>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</si>
  <si>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</si>
  <si>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</si>
  <si>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</si>
  <si>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</si>
  <si>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</si>
  <si>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</si>
  <si>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</si>
  <si>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</si>
  <si>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</si>
  <si>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</si>
  <si>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</si>
  <si>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</si>
  <si>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</si>
  <si>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</si>
  <si>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</si>
  <si>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</si>
  <si>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</si>
  <si>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</si>
  <si>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</si>
  <si>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</si>
  <si>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</si>
  <si>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</si>
  <si>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</si>
  <si>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</si>
  <si>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</si>
  <si>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</si>
  <si>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</si>
  <si>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</si>
  <si>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</si>
  <si>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</si>
  <si>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</si>
  <si>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</si>
  <si>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</si>
  <si>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</si>
  <si>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</si>
  <si>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</si>
  <si>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</si>
  <si>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</si>
  <si>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</si>
  <si>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</si>
  <si>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</si>
  <si>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</si>
  <si>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</si>
  <si>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</si>
  <si>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</si>
  <si>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</si>
  <si>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</si>
  <si>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</si>
  <si>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</si>
  <si>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</si>
  <si>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</si>
  <si>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</si>
  <si>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</si>
  <si>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</si>
  <si>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</si>
  <si>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</si>
  <si>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</si>
  <si>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</si>
  <si>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</si>
  <si>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</si>
  <si>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</si>
  <si>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</si>
  <si>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</si>
  <si>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</si>
  <si>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</si>
  <si>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</si>
  <si>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</si>
  <si>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</si>
  <si>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</si>
  <si>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</si>
  <si>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</si>
  <si>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</si>
  <si>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</si>
  <si>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</si>
  <si>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</si>
  <si>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</si>
  <si>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</si>
  <si>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</si>
  <si>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</si>
  <si>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</si>
  <si>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</si>
  <si>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</si>
  <si>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</si>
  <si>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</si>
  <si>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</si>
  <si>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</si>
  <si>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</si>
  <si>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</si>
  <si>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</si>
  <si>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</si>
  <si>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</si>
  <si>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</si>
  <si>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</si>
  <si>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</si>
  <si>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</si>
  <si>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</si>
  <si>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</si>
  <si>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</si>
  <si>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</si>
  <si>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</si>
  <si>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</si>
  <si>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</si>
  <si>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</si>
  <si>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</si>
  <si>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</si>
  <si>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</si>
  <si>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</si>
  <si>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</si>
  <si>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</si>
  <si>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</si>
  <si>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</si>
  <si>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</si>
  <si>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</si>
  <si>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</si>
  <si>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</si>
  <si>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</si>
  <si>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</si>
  <si>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</si>
  <si>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</si>
  <si>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</si>
  <si>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</si>
  <si>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</si>
  <si>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</si>
  <si>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</si>
  <si>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</si>
  <si>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</si>
  <si>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</si>
  <si>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</si>
  <si>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</si>
  <si>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</si>
  <si>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</si>
  <si>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</si>
  <si>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</si>
  <si>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</si>
  <si>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</si>
  <si>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</si>
  <si>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</si>
  <si>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</si>
  <si>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</si>
  <si>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</si>
  <si>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</si>
  <si>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</si>
  <si>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</si>
  <si>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</si>
  <si>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</si>
  <si>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</si>
  <si>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</si>
  <si>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</si>
  <si>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</si>
  <si>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</si>
  <si>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</si>
  <si>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</si>
  <si>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</si>
  <si>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</si>
  <si>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</si>
  <si>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</si>
  <si>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</si>
  <si>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</si>
  <si>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</si>
  <si>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</si>
  <si>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</si>
  <si>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</si>
  <si>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</si>
  <si>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</si>
  <si>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</si>
  <si>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</si>
  <si>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</si>
  <si>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</si>
  <si>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</si>
  <si>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</si>
  <si>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</si>
  <si>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</si>
  <si>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</si>
  <si>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</si>
  <si>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</si>
  <si>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</si>
  <si>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</si>
  <si>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</si>
  <si>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</si>
  <si>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</si>
  <si>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</si>
  <si>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</si>
  <si>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</si>
  <si>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</si>
  <si>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</si>
  <si>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</si>
  <si>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</si>
  <si>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</si>
  <si>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</si>
  <si>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</si>
  <si>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</si>
  <si>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</si>
  <si>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</si>
  <si>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</si>
  <si>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</si>
  <si>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</si>
  <si>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</si>
  <si>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</si>
  <si>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</si>
  <si>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</si>
  <si>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</si>
  <si>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</si>
  <si>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</si>
  <si>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</si>
  <si>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</si>
  <si>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</si>
  <si>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</si>
  <si>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</si>
  <si>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</si>
  <si>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</si>
  <si>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</si>
  <si>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</si>
  <si>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</si>
  <si>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</si>
  <si>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</si>
  <si>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</si>
  <si>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</si>
  <si>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</si>
  <si>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</si>
  <si>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</si>
  <si>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</si>
  <si>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</si>
  <si>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</si>
  <si>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</si>
  <si>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</si>
  <si>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</si>
  <si>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</si>
  <si>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</si>
  <si>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</si>
  <si>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</si>
  <si>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</si>
  <si>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</si>
  <si>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</si>
  <si>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</si>
  <si>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</si>
  <si>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</si>
  <si>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</si>
  <si>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</si>
  <si>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</si>
  <si>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</si>
  <si>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</si>
  <si>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</si>
  <si>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</si>
  <si>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</si>
  <si>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</si>
  <si>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</si>
  <si>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</si>
  <si>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</si>
  <si>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</si>
  <si>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</si>
  <si>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</si>
  <si>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</si>
  <si>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</si>
  <si>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</si>
  <si>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</si>
  <si>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</si>
  <si>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</si>
  <si>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</si>
  <si>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</si>
  <si>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</si>
  <si>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</si>
  <si>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</si>
  <si>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</si>
  <si>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</si>
  <si>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</si>
  <si>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</si>
  <si>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</si>
  <si>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</si>
  <si>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</si>
  <si>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</si>
  <si>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</si>
  <si>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</si>
  <si>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</si>
  <si>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</si>
  <si>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</si>
  <si>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</si>
  <si>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</si>
  <si>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</si>
  <si>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</si>
  <si>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</si>
  <si>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</si>
  <si>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</si>
  <si>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</si>
  <si>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</si>
  <si>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</si>
  <si>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</si>
  <si>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</si>
  <si>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</si>
  <si>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</si>
  <si>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</si>
  <si>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</si>
  <si>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</si>
  <si>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</si>
  <si>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</si>
  <si>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</si>
  <si>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</si>
  <si>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</si>
  <si>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</si>
  <si>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</si>
  <si>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</si>
  <si>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</si>
  <si>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</si>
  <si>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</si>
  <si>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</si>
  <si>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</si>
  <si>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</si>
  <si>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</si>
  <si>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</si>
  <si>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</si>
  <si>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</si>
  <si>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</si>
  <si>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</si>
  <si>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</si>
  <si>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</si>
  <si>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</si>
  <si>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</si>
  <si>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</si>
  <si>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</si>
  <si>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</si>
  <si>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</si>
  <si>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</si>
  <si>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</si>
  <si>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</si>
  <si>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</si>
  <si>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</si>
  <si>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</si>
  <si>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</si>
  <si>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</si>
  <si>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</si>
  <si>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</si>
  <si>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</si>
  <si>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</si>
  <si>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</si>
  <si>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</si>
  <si>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</si>
  <si>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</si>
  <si>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</si>
  <si>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</si>
  <si>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</si>
  <si>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</si>
  <si>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</si>
  <si>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</si>
  <si>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</si>
  <si>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</si>
  <si>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</si>
  <si>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</si>
  <si>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</si>
  <si>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</si>
  <si>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</si>
  <si>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</si>
  <si>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</si>
  <si>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</si>
  <si>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</si>
  <si>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</si>
  <si>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</si>
  <si>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</si>
  <si>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</si>
  <si>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</si>
  <si>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</si>
  <si>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</si>
  <si>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</si>
  <si>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</si>
  <si>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</si>
  <si>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</si>
  <si>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</si>
  <si>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</si>
  <si>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</si>
  <si>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</si>
  <si>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</si>
  <si>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</si>
  <si>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</si>
  <si>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</si>
  <si>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</si>
  <si>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</si>
  <si>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</si>
  <si>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</si>
  <si>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</si>
  <si>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</si>
  <si>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</si>
  <si>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</si>
  <si>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</si>
  <si>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</si>
  <si>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</si>
  <si>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</si>
  <si>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</si>
  <si>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</si>
  <si>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</si>
  <si>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</si>
  <si>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</si>
  <si>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</si>
  <si>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</si>
  <si>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</si>
  <si>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</si>
  <si>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</si>
  <si>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</si>
  <si>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</si>
  <si>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</si>
  <si>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</si>
  <si>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</si>
  <si>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</si>
  <si>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</si>
  <si>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</si>
  <si>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</si>
  <si>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</si>
  <si>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</si>
  <si>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</si>
  <si>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</si>
  <si>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</si>
  <si>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</si>
  <si>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</si>
  <si>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</si>
  <si>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</si>
  <si>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</si>
  <si>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</si>
  <si>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</si>
  <si>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</si>
  <si>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</si>
  <si>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</si>
  <si>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</si>
  <si>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</si>
  <si>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</si>
  <si>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</si>
  <si>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</si>
  <si>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</si>
  <si>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</si>
  <si>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</si>
  <si>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</si>
  <si>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</si>
  <si>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</si>
  <si>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</si>
  <si>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</si>
  <si>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</si>
  <si>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</si>
  <si>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</si>
  <si>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</si>
  <si>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</si>
  <si>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</si>
  <si>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</si>
  <si>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</si>
  <si>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</si>
  <si>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</si>
  <si>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</si>
  <si>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</si>
  <si>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</si>
  <si>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</si>
  <si>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</si>
  <si>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</si>
  <si>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</si>
  <si>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</si>
  <si>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</si>
  <si>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</si>
  <si>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</si>
  <si>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</si>
  <si>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</si>
  <si>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</si>
  <si>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</si>
  <si>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</si>
  <si>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</si>
  <si>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</si>
  <si>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</si>
  <si>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</si>
  <si>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</si>
  <si>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</si>
  <si>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</si>
  <si>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</si>
  <si>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</si>
  <si>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</si>
  <si>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</si>
  <si>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</si>
  <si>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</si>
  <si>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</si>
  <si>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</si>
  <si>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</si>
  <si>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</si>
  <si>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</si>
  <si>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</si>
  <si>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</si>
  <si>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</si>
  <si>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</si>
  <si>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</si>
  <si>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</si>
  <si>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</si>
  <si>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</si>
  <si>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</si>
  <si>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</si>
  <si>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</si>
  <si>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</si>
  <si>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</si>
  <si>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</si>
  <si>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</si>
  <si>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</si>
  <si>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</si>
  <si>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</si>
  <si>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</si>
  <si>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</si>
  <si>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</si>
  <si>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</si>
  <si>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</si>
  <si>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</si>
  <si>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</si>
  <si>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</si>
  <si>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</si>
  <si>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</si>
  <si>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</si>
  <si>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</si>
  <si>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</si>
  <si>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</si>
  <si>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</si>
  <si>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</si>
  <si>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</si>
  <si>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</si>
  <si>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</si>
  <si>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</si>
  <si>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</si>
  <si>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</si>
  <si>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</si>
  <si>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</si>
  <si>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</si>
  <si>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</si>
  <si>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</si>
  <si>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</si>
  <si>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</si>
  <si>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</si>
  <si>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</si>
  <si>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</si>
  <si>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</si>
  <si>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</si>
  <si>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</si>
  <si>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</si>
  <si>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</si>
  <si>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</si>
  <si>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</si>
  <si>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</si>
  <si>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</si>
  <si>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</si>
  <si>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</si>
  <si>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</si>
  <si>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</si>
  <si>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</si>
  <si>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</si>
  <si>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</si>
  <si>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</si>
  <si>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</si>
  <si>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</si>
  <si>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</si>
  <si>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</si>
  <si>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</si>
  <si>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</si>
  <si>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</si>
  <si>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</si>
  <si>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</si>
  <si>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</si>
  <si>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</si>
  <si>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</si>
  <si>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</si>
  <si>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</si>
  <si>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</si>
  <si>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</si>
  <si>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</si>
  <si>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</si>
  <si>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</si>
  <si>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</si>
  <si>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</si>
  <si>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</si>
  <si>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</si>
  <si>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</si>
  <si>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</si>
  <si>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</si>
  <si>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</si>
  <si>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</si>
  <si>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</si>
  <si>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</si>
  <si>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</si>
  <si>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</si>
  <si>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</si>
  <si>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</si>
  <si>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</si>
  <si>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</si>
  <si>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</si>
  <si>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</si>
  <si>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</si>
  <si>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</si>
  <si>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</si>
  <si>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</si>
  <si>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</si>
  <si>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</si>
  <si>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</si>
  <si>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</si>
  <si>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</si>
  <si>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</si>
  <si>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</si>
  <si>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</si>
  <si>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</si>
  <si>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</si>
  <si>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</si>
  <si>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</si>
  <si>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</si>
  <si>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</si>
  <si>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</si>
  <si>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</si>
  <si>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</si>
  <si>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</si>
  <si>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</si>
  <si>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</si>
  <si>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</si>
  <si>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</si>
  <si>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</si>
  <si>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</si>
  <si>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</si>
  <si>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</si>
  <si>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</si>
  <si>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</si>
  <si>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</si>
  <si>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</si>
  <si>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</si>
  <si>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</si>
  <si>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</si>
  <si>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</si>
  <si>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</si>
  <si>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</si>
  <si>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</si>
  <si>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</si>
  <si>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</si>
  <si>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</si>
  <si>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</si>
  <si>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</si>
  <si>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</si>
  <si>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</si>
  <si>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</si>
  <si>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</si>
  <si>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</si>
  <si>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</si>
  <si>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</si>
  <si>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</si>
  <si>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</si>
  <si>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</si>
  <si>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</si>
  <si>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</si>
  <si>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</si>
  <si>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</si>
  <si>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</si>
  <si>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</si>
  <si>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</si>
  <si>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</si>
  <si>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</si>
  <si>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</si>
  <si>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</si>
  <si>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</si>
  <si>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</si>
  <si>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</si>
  <si>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</si>
  <si>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</si>
  <si>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</si>
  <si>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</si>
  <si>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</si>
  <si>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</si>
  <si>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</si>
  <si>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</si>
  <si>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</si>
  <si>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</si>
  <si>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</si>
  <si>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</si>
  <si>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</si>
  <si>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</si>
  <si>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</si>
  <si>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</si>
  <si>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</si>
  <si>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</si>
  <si>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</si>
  <si>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</si>
  <si>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</si>
  <si>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</si>
  <si>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</si>
  <si>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</si>
  <si>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</si>
  <si>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</si>
  <si>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</si>
  <si>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</si>
  <si>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</si>
  <si>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</si>
  <si>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</si>
  <si>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</si>
  <si>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</si>
  <si>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</si>
  <si>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</si>
  <si>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</si>
  <si>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</si>
  <si>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</si>
  <si>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</si>
  <si>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</si>
  <si>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</si>
  <si>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</si>
  <si>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</si>
  <si>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</si>
  <si>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</si>
  <si>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</si>
  <si>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</si>
  <si>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</si>
  <si>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</si>
  <si>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</si>
  <si>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</si>
  <si>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</si>
  <si>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</si>
  <si>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</si>
  <si>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</si>
  <si>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</si>
  <si>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</si>
  <si>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</si>
  <si>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</si>
  <si>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</si>
  <si>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</si>
  <si>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</si>
  <si>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</si>
  <si>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</si>
  <si>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</si>
  <si>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</si>
  <si>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</si>
  <si>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</si>
  <si>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</si>
  <si>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</si>
  <si>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</si>
  <si>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</si>
  <si>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</si>
  <si>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</si>
  <si>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</si>
  <si>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</si>
  <si>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</si>
  <si>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</si>
  <si>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</si>
  <si>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</si>
  <si>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</si>
  <si>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</si>
  <si>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</si>
  <si>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</si>
  <si>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</si>
  <si>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</si>
  <si>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</si>
  <si>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</si>
  <si>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</si>
  <si>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</si>
  <si>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</si>
  <si>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</si>
  <si>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</si>
  <si>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</si>
  <si>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</si>
  <si>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</si>
  <si>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</si>
  <si>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</si>
  <si>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</si>
  <si>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</si>
  <si>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</si>
  <si>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</si>
  <si>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</si>
  <si>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</si>
  <si>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</si>
  <si>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</si>
  <si>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</si>
  <si>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</si>
  <si>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</si>
  <si>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</si>
  <si>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</si>
  <si>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</si>
  <si>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</si>
  <si>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</si>
  <si>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</si>
  <si>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</si>
  <si>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</si>
  <si>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</si>
  <si>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</si>
  <si>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</si>
  <si>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</si>
  <si>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</si>
  <si>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</si>
  <si>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</si>
  <si>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</si>
  <si>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</si>
  <si>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</si>
  <si>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</si>
  <si>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</si>
  <si>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</si>
  <si>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</si>
  <si>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</si>
  <si>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</si>
  <si>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</si>
  <si>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</si>
  <si>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</si>
  <si>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</si>
  <si>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</si>
  <si>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</si>
  <si>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</si>
  <si>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</si>
  <si>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</si>
  <si>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</si>
  <si>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</si>
  <si>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</si>
  <si>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</si>
  <si>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</si>
  <si>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</si>
  <si>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</si>
  <si>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</si>
  <si>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</si>
  <si>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</si>
  <si>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</si>
  <si>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</si>
  <si>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</si>
  <si>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</si>
  <si>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</si>
  <si>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</si>
  <si>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</si>
  <si>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</si>
  <si>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</si>
  <si>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</si>
  <si>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</si>
  <si>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</si>
  <si>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</si>
  <si>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</si>
  <si>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</si>
  <si>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</si>
  <si>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</si>
  <si>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</si>
  <si>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</si>
  <si>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</si>
  <si>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</si>
  <si>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</si>
  <si>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</si>
  <si>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</si>
  <si>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</si>
  <si>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</si>
  <si>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</si>
  <si>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</si>
  <si>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</si>
  <si>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</si>
  <si>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</si>
  <si>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</si>
  <si>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</si>
  <si>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</si>
  <si>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</si>
  <si>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</si>
  <si>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</si>
  <si>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</si>
  <si>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</si>
  <si>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</si>
  <si>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</si>
  <si>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</si>
  <si>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</si>
  <si>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</si>
  <si>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</si>
  <si>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</si>
  <si>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</si>
  <si>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</si>
  <si>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</si>
  <si>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</si>
  <si>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</si>
  <si>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</si>
  <si>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</si>
  <si>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</si>
  <si>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</si>
  <si>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</si>
  <si>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</si>
  <si>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</si>
  <si>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</si>
  <si>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</si>
  <si>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</si>
  <si>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</si>
  <si>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</si>
  <si>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</si>
  <si>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</si>
  <si>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</si>
  <si>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</si>
  <si>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</si>
  <si>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</si>
  <si>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</si>
  <si>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</si>
  <si>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</si>
  <si>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</si>
  <si>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</si>
  <si>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</si>
  <si>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</si>
  <si>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</si>
  <si>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</si>
  <si>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</si>
  <si>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</si>
  <si>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</si>
  <si>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</si>
  <si>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</si>
  <si>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</si>
  <si>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</si>
  <si>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</si>
  <si>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</si>
  <si>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</si>
  <si>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</si>
  <si>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</si>
  <si>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</si>
  <si>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</si>
  <si>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</si>
  <si>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</si>
  <si>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</si>
  <si>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</si>
  <si>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</si>
  <si>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</si>
  <si>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</si>
  <si>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</si>
  <si>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</si>
  <si>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</si>
  <si>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</si>
  <si>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</si>
  <si>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</si>
  <si>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</si>
  <si>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</si>
  <si>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</si>
  <si>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</si>
  <si>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</si>
  <si>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</si>
  <si>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</si>
  <si>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</si>
  <si>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</si>
  <si>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</si>
  <si>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</si>
  <si>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</si>
  <si>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</si>
  <si>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</si>
  <si>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</si>
  <si>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</si>
  <si>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</si>
  <si>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</si>
  <si>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</si>
  <si>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</si>
  <si>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</si>
  <si>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</si>
  <si>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</si>
  <si>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</si>
  <si>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</si>
  <si>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</si>
  <si>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</si>
  <si>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</si>
  <si>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</si>
  <si>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</si>
  <si>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</si>
  <si>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</si>
  <si>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</si>
  <si>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</si>
  <si>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</si>
  <si>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</si>
  <si>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</si>
  <si>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</si>
  <si>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</si>
  <si>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</si>
  <si>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</si>
  <si>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</si>
  <si>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</si>
  <si>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</si>
  <si>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</si>
  <si>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</si>
  <si>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</si>
  <si>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</si>
  <si>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</si>
  <si>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</si>
  <si>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</si>
  <si>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</si>
  <si>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</si>
  <si>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</si>
  <si>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</si>
  <si>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</si>
  <si>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</si>
  <si>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</si>
  <si>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</si>
  <si>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</si>
  <si>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</si>
  <si>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</si>
  <si>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</si>
  <si>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</si>
  <si>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</si>
  <si>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</si>
  <si>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</si>
  <si>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</si>
  <si>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</si>
  <si>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</si>
  <si>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</si>
  <si>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</si>
  <si>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</si>
  <si>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</si>
  <si>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</si>
  <si>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</si>
  <si>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</si>
  <si>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</si>
  <si>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</si>
  <si>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</si>
  <si>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</si>
  <si>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</si>
  <si>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</si>
  <si>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</si>
  <si>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</si>
  <si>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</si>
  <si>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</si>
  <si>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</si>
  <si>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</si>
  <si>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</si>
  <si>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</si>
  <si>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</si>
  <si>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</si>
  <si>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</si>
  <si>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</si>
  <si>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</si>
  <si>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</si>
  <si>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</si>
  <si>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</si>
  <si>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</si>
  <si>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</si>
  <si>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</si>
  <si>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</si>
  <si>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</si>
  <si>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</si>
  <si>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</si>
  <si>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</si>
  <si>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</si>
  <si>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</si>
  <si>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</si>
  <si>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</si>
  <si>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</si>
  <si>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</si>
  <si>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</si>
  <si>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</si>
  <si>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</si>
  <si>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</si>
  <si>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</si>
  <si>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</si>
  <si>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</si>
  <si>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</si>
  <si>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</si>
  <si>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</si>
  <si>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</si>
  <si>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</si>
  <si>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</si>
  <si>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</si>
  <si>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</si>
  <si>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</si>
  <si>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</si>
  <si>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</si>
  <si>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</si>
  <si>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</si>
  <si>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</si>
  <si>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</si>
  <si>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</si>
  <si>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</si>
  <si>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</si>
  <si>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</si>
  <si>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</si>
  <si>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</si>
  <si>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</si>
  <si>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</si>
  <si>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</si>
  <si>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</si>
  <si>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</si>
  <si>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</si>
  <si>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</si>
  <si>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</si>
  <si>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</si>
  <si>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</si>
  <si>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</si>
  <si>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</si>
  <si>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</si>
  <si>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</si>
  <si>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</si>
  <si>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</si>
  <si>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</si>
  <si>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</si>
  <si>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</si>
  <si>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</si>
  <si>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</si>
  <si>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</si>
  <si>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</si>
  <si>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</si>
  <si>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</si>
  <si>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</si>
  <si>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</si>
  <si>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</si>
  <si>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</si>
  <si>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</si>
  <si>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</si>
  <si>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</si>
  <si>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</si>
  <si>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</si>
  <si>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</si>
  <si>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</si>
  <si>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</si>
  <si>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</si>
  <si>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</si>
  <si>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</si>
  <si>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</si>
  <si>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</si>
  <si>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</si>
  <si>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</si>
  <si>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</si>
  <si>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</si>
  <si>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</si>
  <si>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</si>
  <si>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</si>
  <si>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</si>
  <si>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</si>
  <si>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</si>
  <si>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</si>
  <si>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</si>
  <si>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</si>
  <si>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</si>
  <si>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</si>
  <si>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</si>
  <si>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</si>
  <si>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</si>
  <si>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</si>
  <si>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</si>
  <si>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</si>
  <si>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</si>
  <si>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</si>
  <si>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</si>
  <si>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</si>
  <si>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</si>
  <si>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</si>
  <si>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</si>
  <si>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</si>
  <si>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</si>
  <si>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</si>
  <si>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</si>
  <si>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</si>
  <si>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</si>
  <si>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</si>
  <si>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</si>
  <si>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</si>
  <si>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</si>
  <si>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</si>
  <si>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</si>
  <si>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</si>
  <si>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</si>
  <si>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</si>
  <si>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</si>
  <si>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</si>
  <si>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</si>
  <si>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</si>
  <si>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</si>
  <si>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</si>
  <si>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</si>
  <si>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</si>
  <si>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</si>
  <si>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</si>
  <si>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</si>
  <si>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</si>
  <si>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</si>
  <si>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</si>
  <si>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</si>
  <si>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</si>
  <si>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</si>
  <si>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</si>
  <si>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</si>
  <si>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</si>
  <si>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</si>
  <si>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</si>
  <si>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</si>
  <si>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</si>
  <si>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</si>
  <si>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</si>
  <si>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</si>
  <si>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</si>
  <si>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</si>
  <si>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</si>
  <si>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</si>
  <si>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</si>
  <si>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</si>
  <si>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</si>
  <si>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</si>
  <si>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</si>
  <si>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</si>
  <si>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</si>
  <si>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</si>
  <si>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</si>
  <si>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</si>
  <si>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</si>
  <si>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</si>
  <si>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</si>
  <si>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</si>
  <si>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</si>
  <si>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</si>
  <si>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</si>
  <si>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</si>
  <si>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</si>
  <si>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</si>
  <si>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</si>
  <si>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</si>
  <si>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</si>
  <si>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</si>
  <si>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</si>
  <si>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</si>
  <si>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</si>
  <si>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</si>
  <si>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</si>
  <si>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</si>
  <si>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</si>
  <si>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</si>
  <si>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</si>
  <si>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</si>
  <si>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</si>
  <si>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</si>
  <si>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</si>
  <si>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</si>
  <si>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</si>
  <si>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</si>
  <si>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</si>
  <si>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</si>
  <si>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</si>
  <si>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</si>
  <si>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</si>
  <si>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</si>
  <si>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</si>
  <si>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</si>
  <si>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</si>
  <si>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</si>
  <si>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</si>
  <si>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</si>
  <si>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</si>
  <si>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</si>
  <si>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</si>
  <si>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</si>
  <si>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</si>
  <si>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</si>
  <si>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</si>
  <si>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</si>
  <si>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</si>
  <si>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</si>
  <si>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</si>
  <si>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</si>
  <si>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</si>
  <si>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</si>
  <si>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</si>
  <si>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</si>
  <si>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</si>
  <si>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</si>
  <si>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</si>
  <si>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</si>
  <si>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</si>
  <si>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</si>
  <si>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</si>
  <si>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</si>
  <si>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</si>
  <si>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</si>
  <si>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</si>
  <si>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</si>
  <si>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</si>
  <si>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</si>
  <si>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</si>
  <si>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</si>
  <si>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</si>
  <si>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</si>
  <si>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</si>
  <si>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</si>
  <si>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</si>
  <si>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</si>
  <si>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</si>
  <si>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</si>
  <si>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</si>
  <si>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</si>
  <si>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</si>
  <si>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</si>
  <si>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</si>
  <si>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</si>
  <si>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</si>
  <si>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</si>
  <si>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</si>
  <si>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</si>
  <si>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</si>
  <si>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</si>
  <si>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</si>
  <si>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</si>
  <si>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</si>
  <si>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</si>
  <si>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</si>
  <si>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</si>
  <si>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</si>
  <si>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</si>
  <si>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</si>
  <si>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</si>
  <si>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</si>
  <si>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</si>
  <si>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</si>
  <si>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</si>
  <si>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</si>
  <si>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</si>
  <si>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</si>
  <si>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</si>
  <si>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</si>
  <si>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</si>
  <si>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</si>
  <si>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</si>
  <si>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</si>
  <si>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</si>
  <si>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</si>
  <si>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</si>
  <si>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</si>
  <si>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</si>
  <si>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</si>
  <si>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</si>
  <si>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</si>
  <si>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</si>
  <si>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</si>
  <si>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</si>
  <si>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</si>
  <si>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</si>
  <si>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</si>
  <si>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</si>
  <si>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</si>
  <si>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</si>
  <si>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</si>
  <si>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</si>
  <si>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</si>
  <si>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</si>
  <si>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</si>
  <si>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</si>
  <si>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</si>
  <si>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</si>
  <si>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</si>
  <si>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</si>
  <si>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</si>
  <si>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</si>
  <si>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</si>
  <si>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</si>
  <si>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</si>
  <si>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</si>
  <si>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</si>
  <si>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</si>
  <si>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</si>
  <si>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</si>
  <si>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</si>
  <si>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</si>
  <si>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</si>
  <si>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</si>
  <si>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</si>
  <si>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</si>
  <si>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</si>
  <si>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</si>
  <si>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</si>
  <si>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</si>
  <si>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</si>
  <si>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</si>
  <si>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</si>
  <si>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</si>
  <si>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</si>
  <si>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</si>
  <si>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</si>
  <si>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</si>
  <si>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</si>
  <si>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</si>
  <si>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</si>
  <si>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</si>
  <si>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</si>
  <si>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</si>
  <si>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</si>
  <si>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</si>
  <si>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</si>
  <si>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</si>
  <si>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</si>
  <si>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</si>
  <si>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</si>
  <si>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</si>
  <si>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</si>
  <si>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</si>
  <si>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</si>
  <si>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</si>
  <si>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</si>
  <si>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</si>
  <si>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</si>
  <si>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</si>
  <si>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</si>
  <si>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</si>
  <si>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</si>
  <si>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</si>
  <si>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</si>
  <si>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</si>
  <si>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</si>
  <si>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</si>
  <si>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</si>
  <si>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</si>
  <si>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</si>
  <si>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</si>
  <si>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</si>
  <si>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</si>
  <si>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</si>
  <si>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</si>
  <si>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</si>
  <si>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</si>
  <si>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</si>
  <si>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</si>
  <si>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</si>
  <si>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</si>
  <si>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</si>
  <si>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</si>
  <si>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</si>
  <si>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</si>
  <si>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</si>
  <si>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</si>
  <si>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</si>
  <si>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</si>
  <si>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</si>
  <si>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</si>
  <si>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</si>
  <si>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</si>
  <si>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</si>
  <si>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</si>
  <si>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</si>
  <si>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</si>
  <si>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</si>
  <si>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</si>
  <si>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</si>
  <si>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</si>
  <si>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</si>
  <si>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</si>
  <si>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</si>
  <si>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</si>
  <si>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</si>
  <si>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</si>
  <si>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</si>
  <si>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</si>
  <si>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</si>
  <si>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</si>
  <si>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</si>
  <si>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</si>
  <si>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</si>
  <si>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</si>
  <si>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</si>
  <si>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</si>
  <si>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</si>
  <si>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</si>
  <si>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</si>
  <si>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</si>
  <si>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</si>
  <si>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</si>
  <si>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</si>
  <si>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</si>
  <si>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</si>
  <si>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</si>
  <si>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</si>
  <si>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</si>
  <si>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</si>
  <si>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</si>
  <si>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</si>
  <si>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</si>
  <si>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</si>
  <si>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</si>
  <si>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</si>
  <si>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</si>
  <si>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</si>
  <si>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</si>
  <si>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</si>
  <si>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</si>
  <si>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</si>
  <si>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</si>
  <si>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</si>
  <si>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</si>
  <si>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</si>
  <si>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</si>
  <si>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</si>
  <si>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</si>
  <si>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</si>
  <si>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</si>
  <si>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</si>
  <si>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</si>
  <si>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</si>
  <si>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</si>
  <si>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</si>
  <si>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</si>
  <si>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</si>
  <si>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</si>
  <si>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</si>
  <si>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</si>
  <si>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</si>
  <si>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</si>
  <si>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</si>
  <si>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</si>
  <si>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</si>
  <si>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</si>
  <si>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</si>
  <si>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</si>
  <si>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</si>
  <si>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</si>
  <si>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</si>
  <si>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</si>
  <si>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</si>
  <si>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</si>
  <si>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</si>
  <si>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</si>
  <si>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</si>
  <si>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</si>
  <si>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</si>
  <si>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</si>
  <si>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</si>
  <si>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</si>
  <si>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</si>
  <si>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</si>
  <si>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</si>
  <si>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</si>
  <si>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</si>
  <si>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</si>
  <si>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</si>
  <si>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</si>
  <si>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</si>
  <si>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</si>
  <si>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</si>
  <si>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</si>
  <si>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</si>
  <si>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</si>
  <si>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</si>
  <si>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</si>
  <si>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</si>
  <si>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</si>
  <si>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</si>
  <si>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</si>
  <si>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</si>
  <si>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</si>
  <si>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</si>
  <si>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</si>
  <si>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</si>
  <si>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</si>
  <si>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</si>
  <si>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</si>
  <si>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</si>
  <si>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</si>
  <si>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</si>
  <si>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</si>
  <si>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</si>
  <si>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</si>
  <si>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</si>
  <si>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</si>
  <si>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</si>
  <si>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</si>
  <si>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</si>
  <si>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</si>
  <si>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</si>
  <si>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</si>
  <si>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</si>
  <si>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</si>
  <si>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</si>
  <si>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</si>
  <si>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</si>
  <si>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</si>
  <si>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</si>
  <si>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</si>
  <si>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</si>
  <si>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</si>
  <si>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</si>
  <si>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</si>
  <si>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</si>
  <si>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</si>
  <si>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</si>
  <si>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</si>
  <si>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</si>
  <si>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</si>
  <si>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</si>
  <si>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</si>
  <si>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</si>
  <si>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</si>
  <si>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</si>
  <si>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</si>
  <si>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</si>
  <si>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</si>
  <si>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</si>
  <si>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</si>
  <si>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</si>
  <si>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</si>
  <si>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</si>
  <si>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</si>
  <si>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</si>
  <si>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</si>
  <si>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</si>
  <si>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</si>
  <si>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</si>
  <si>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</si>
  <si>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</si>
  <si>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</si>
  <si>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</si>
  <si>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</si>
  <si>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</si>
  <si>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</si>
  <si>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</si>
  <si>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</si>
  <si>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</si>
  <si>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</si>
  <si>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</si>
  <si>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</si>
  <si>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</si>
  <si>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</si>
  <si>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</si>
  <si>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</si>
  <si>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</si>
  <si>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</si>
  <si>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</si>
  <si>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</si>
  <si>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</si>
  <si>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</si>
  <si>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</si>
  <si>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</si>
  <si>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</si>
  <si>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</si>
  <si>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</si>
  <si>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</si>
  <si>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</si>
  <si>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</si>
  <si>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</si>
  <si>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</si>
  <si>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</si>
  <si>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</si>
  <si>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</si>
  <si>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</si>
  <si>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</si>
  <si>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</si>
  <si>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</si>
  <si>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</si>
  <si>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</si>
  <si>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</si>
  <si>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</si>
  <si>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</si>
  <si>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</si>
  <si>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</si>
  <si>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</si>
  <si>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</si>
  <si>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</si>
  <si>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</si>
  <si>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</si>
  <si>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</si>
  <si>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</si>
  <si>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</si>
  <si>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</si>
  <si>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</si>
  <si>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</si>
  <si>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</si>
  <si>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</si>
  <si>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</si>
  <si>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</si>
  <si>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</si>
  <si>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</si>
  <si>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</si>
  <si>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</si>
  <si>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</si>
  <si>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</si>
  <si>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</si>
  <si>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</si>
  <si>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</si>
  <si>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</si>
  <si>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</si>
  <si>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</si>
  <si>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</si>
  <si>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</si>
  <si>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</si>
  <si>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</si>
  <si>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</si>
  <si>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</si>
  <si>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</si>
  <si>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</si>
  <si>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</si>
  <si>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</si>
  <si>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</si>
  <si>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</si>
  <si>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</si>
  <si>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</si>
  <si>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</si>
  <si>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</si>
  <si>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</si>
  <si>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</si>
  <si>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</si>
  <si>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</si>
  <si>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</si>
  <si>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</si>
  <si>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</si>
  <si>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</si>
  <si>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</si>
  <si>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</si>
  <si>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</si>
  <si>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</si>
  <si>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</si>
  <si>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</si>
  <si>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</si>
  <si>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</si>
  <si>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</si>
  <si>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</si>
  <si>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</si>
  <si>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</si>
  <si>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</si>
  <si>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</si>
  <si>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</si>
  <si>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</si>
  <si>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</si>
  <si>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</si>
  <si>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</si>
  <si>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</si>
  <si>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</si>
  <si>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</si>
  <si>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</si>
  <si>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</si>
  <si>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</si>
  <si>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</si>
  <si>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</si>
  <si>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</si>
  <si>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</si>
  <si>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</si>
  <si>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</si>
  <si>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</si>
  <si>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</si>
  <si>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</si>
  <si>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</si>
  <si>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</si>
  <si>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</si>
  <si>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</si>
  <si>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</si>
  <si>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</si>
  <si>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</si>
  <si>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</si>
  <si>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</si>
  <si>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</si>
  <si>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</si>
  <si>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</si>
  <si>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</si>
  <si>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</si>
  <si>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</si>
  <si>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</si>
  <si>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</si>
  <si>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</si>
  <si>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</si>
  <si>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</si>
  <si>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</si>
  <si>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</si>
  <si>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</si>
  <si>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</si>
  <si>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</si>
  <si>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</si>
  <si>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</si>
  <si>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</si>
  <si>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</si>
  <si>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</si>
  <si>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</si>
  <si>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</si>
  <si>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</si>
  <si>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</si>
  <si>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</si>
  <si>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</si>
  <si>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</si>
  <si>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</si>
  <si>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</si>
  <si>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</si>
  <si>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</si>
  <si>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</si>
  <si>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</si>
  <si>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</si>
  <si>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</si>
  <si>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</si>
  <si>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</si>
  <si>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</si>
  <si>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</si>
  <si>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</si>
  <si>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</si>
  <si>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</si>
  <si>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</si>
  <si>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</si>
  <si>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</si>
  <si>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</si>
  <si>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</si>
  <si>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</si>
  <si>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</si>
  <si>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</si>
  <si>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</si>
  <si>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</si>
  <si>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</si>
  <si>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</si>
  <si>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</si>
  <si>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</si>
  <si>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</si>
  <si>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</si>
  <si>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</si>
  <si>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</si>
  <si>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</si>
  <si>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</si>
  <si>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</si>
  <si>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</si>
  <si>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</si>
  <si>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</si>
  <si>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</si>
  <si>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</si>
  <si>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</si>
  <si>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</si>
  <si>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</si>
  <si>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</si>
  <si>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</si>
  <si>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</si>
  <si>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</si>
  <si>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</si>
  <si>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</si>
  <si>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</si>
  <si>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</si>
  <si>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</si>
  <si>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</si>
  <si>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</si>
  <si>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</si>
  <si>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</si>
  <si>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</si>
  <si>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</si>
  <si>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</si>
  <si>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</si>
  <si>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</si>
  <si>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</si>
  <si>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</si>
  <si>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</si>
  <si>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</si>
  <si>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</si>
  <si>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</si>
  <si>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</si>
  <si>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</si>
  <si>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</si>
  <si>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</si>
  <si>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</si>
  <si>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</si>
  <si>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</si>
  <si>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</si>
  <si>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</si>
  <si>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</si>
  <si>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</si>
  <si>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</si>
  <si>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</si>
  <si>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</si>
  <si>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</si>
  <si>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</si>
  <si>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</si>
  <si>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</si>
  <si>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</si>
  <si>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</si>
  <si>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</si>
  <si>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</si>
  <si>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</si>
  <si>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</si>
  <si>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</si>
  <si>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</si>
  <si>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</si>
  <si>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</si>
  <si>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</si>
  <si>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</si>
  <si>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</si>
  <si>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</si>
  <si>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</si>
  <si>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</si>
  <si>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</si>
  <si>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</si>
  <si>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</si>
  <si>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</si>
  <si>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</si>
  <si>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</si>
  <si>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</si>
  <si>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</si>
  <si>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</si>
  <si>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</si>
  <si>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</si>
  <si>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</si>
  <si>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</si>
  <si>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</si>
  <si>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</si>
  <si>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</si>
  <si>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</si>
  <si>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</si>
  <si>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</si>
  <si>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</si>
  <si>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</si>
  <si>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</si>
  <si>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</si>
  <si>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</si>
  <si>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</si>
  <si>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</si>
  <si>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</si>
  <si>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</si>
  <si>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</si>
  <si>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</si>
  <si>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</si>
  <si>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</si>
  <si>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</si>
  <si>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</si>
  <si>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</si>
  <si>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</si>
  <si>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</si>
  <si>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</si>
  <si>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</si>
  <si>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</si>
  <si>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</si>
  <si>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</si>
  <si>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</si>
  <si>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</si>
  <si>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</si>
  <si>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</si>
  <si>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</si>
  <si>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</si>
  <si>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</si>
  <si>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</si>
  <si>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</si>
  <si>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</si>
  <si>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</si>
  <si>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</si>
  <si>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</si>
  <si>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</si>
  <si>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</si>
  <si>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</si>
  <si>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</si>
  <si>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</si>
  <si>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</si>
  <si>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</si>
  <si>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</si>
  <si>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</si>
  <si>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</si>
  <si>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</si>
  <si>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</si>
  <si>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</si>
  <si>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</si>
  <si>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</si>
  <si>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</si>
  <si>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</si>
  <si>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</si>
  <si>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</si>
  <si>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</si>
  <si>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</si>
  <si>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</si>
  <si>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</si>
  <si>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</si>
  <si>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</si>
  <si>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</si>
  <si>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</si>
  <si>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</si>
  <si>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</si>
  <si>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</si>
  <si>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</si>
  <si>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</si>
  <si>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</si>
  <si>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</si>
  <si>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</si>
  <si>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</si>
  <si>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</si>
  <si>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</si>
  <si>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</si>
  <si>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</si>
  <si>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</si>
  <si>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</si>
  <si>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</si>
  <si>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</si>
  <si>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</si>
  <si>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</si>
  <si>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</si>
  <si>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</si>
  <si>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</si>
  <si>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</si>
  <si>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</si>
  <si>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</si>
  <si>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</si>
  <si>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</si>
  <si>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</si>
  <si>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</si>
  <si>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</si>
  <si>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</si>
  <si>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</si>
  <si>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</si>
  <si>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</si>
  <si>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</si>
  <si>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</si>
  <si>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</si>
  <si>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</si>
  <si>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</si>
  <si>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</si>
  <si>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</si>
  <si>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</si>
  <si>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</si>
  <si>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</si>
  <si>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</si>
  <si>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</si>
  <si>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</si>
  <si>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</si>
  <si>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</si>
  <si>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</si>
  <si>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</si>
  <si>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</si>
  <si>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</si>
  <si>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</si>
  <si>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</si>
  <si>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</si>
  <si>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</si>
  <si>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</si>
  <si>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</si>
  <si>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</si>
  <si>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</si>
  <si>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</si>
  <si>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</si>
  <si>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</si>
  <si>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</si>
  <si>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</si>
  <si>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</si>
  <si>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</si>
  <si>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</si>
  <si>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</si>
  <si>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</si>
  <si>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</si>
  <si>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</si>
  <si>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</si>
  <si>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</si>
  <si>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</si>
  <si>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</si>
  <si>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</si>
  <si>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</si>
  <si>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</si>
  <si>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</si>
  <si>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</si>
  <si>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</si>
  <si>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</si>
  <si>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</si>
  <si>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</si>
  <si>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</si>
  <si>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</si>
  <si>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</si>
  <si>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</si>
  <si>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</si>
  <si>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</si>
  <si>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</si>
  <si>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</si>
  <si>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</si>
  <si>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</si>
  <si>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</si>
  <si>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</si>
  <si>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</si>
  <si>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</si>
  <si>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</si>
  <si>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</si>
  <si>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</si>
  <si>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</si>
  <si>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</si>
  <si>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</si>
  <si>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</si>
  <si>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</si>
  <si>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</si>
  <si>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</si>
  <si>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</si>
  <si>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</si>
  <si>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</si>
  <si>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</si>
  <si>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</si>
  <si>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</si>
  <si>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</si>
  <si>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</si>
  <si>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</si>
  <si>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</si>
  <si>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</si>
  <si>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</si>
  <si>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</si>
  <si>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</si>
  <si>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</si>
  <si>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</si>
  <si>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</si>
  <si>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</si>
  <si>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</si>
  <si>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</si>
  <si>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</si>
  <si>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</si>
  <si>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</si>
  <si>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</si>
  <si>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</si>
  <si>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</si>
  <si>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</si>
  <si>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</si>
  <si>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</si>
  <si>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</si>
  <si>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</si>
  <si>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</si>
  <si>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</si>
  <si>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</si>
  <si>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</si>
  <si>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</si>
  <si>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</si>
  <si>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</si>
  <si>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</si>
  <si>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</si>
  <si>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</si>
  <si>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</si>
  <si>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</si>
  <si>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</si>
  <si>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</si>
  <si>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</si>
  <si>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</si>
  <si>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</si>
  <si>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</si>
  <si>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</si>
  <si>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</si>
  <si>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</si>
  <si>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</si>
  <si>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</si>
  <si>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</si>
  <si>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</si>
  <si>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</si>
  <si>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</si>
  <si>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</si>
  <si>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</si>
  <si>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</si>
  <si>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</si>
  <si>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</si>
  <si>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</si>
  <si>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</si>
  <si>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</si>
  <si>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</si>
  <si>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</si>
  <si>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</si>
  <si>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</si>
  <si>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</si>
  <si>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</si>
  <si>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</si>
  <si>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</si>
  <si>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</si>
  <si>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</si>
  <si>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</si>
  <si>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</si>
  <si>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</si>
  <si>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</si>
  <si>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</si>
  <si>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</si>
  <si>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</si>
  <si>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</si>
  <si>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</si>
  <si>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</si>
  <si>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</si>
  <si>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</si>
  <si>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</si>
  <si>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</si>
  <si>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</si>
  <si>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</si>
  <si>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</si>
  <si>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</si>
  <si>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</si>
  <si>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</si>
  <si>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</si>
  <si>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</si>
  <si>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</si>
  <si>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</si>
  <si>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</si>
  <si>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</si>
  <si>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</si>
  <si>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</si>
  <si>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</si>
  <si>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</si>
  <si>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</si>
  <si>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</si>
  <si>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</si>
  <si>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</si>
  <si>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</si>
  <si>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</si>
  <si>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</si>
  <si>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</si>
  <si>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</si>
  <si>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</si>
  <si>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</si>
  <si>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</si>
  <si>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</si>
  <si>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</si>
  <si>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</si>
  <si>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</si>
  <si>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</si>
  <si>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</si>
  <si>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</si>
  <si>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</si>
  <si>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</si>
  <si>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</si>
  <si>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</si>
  <si>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</si>
  <si>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</si>
  <si>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</si>
  <si>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</si>
  <si>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</si>
  <si>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</si>
  <si>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</si>
  <si>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</si>
  <si>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</si>
  <si>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</si>
  <si>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</si>
  <si>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</si>
  <si>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</si>
  <si>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</si>
  <si>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</si>
  <si>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</si>
  <si>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</si>
  <si>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</si>
  <si>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</si>
  <si>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</si>
  <si>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</si>
  <si>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</si>
  <si>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</si>
  <si>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</si>
  <si>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</si>
  <si>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</si>
  <si>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</si>
  <si>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</si>
  <si>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</si>
  <si>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</si>
  <si>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</si>
  <si>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</si>
  <si>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</si>
  <si>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</si>
  <si>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</si>
  <si>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</si>
  <si>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</si>
  <si>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</si>
  <si>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</si>
  <si>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</si>
  <si>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</si>
  <si>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</si>
  <si>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</si>
  <si>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</si>
  <si>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</si>
  <si>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</si>
  <si>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</si>
  <si>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</si>
  <si>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</si>
  <si>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</si>
  <si>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</si>
  <si>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</si>
  <si>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</si>
  <si>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</si>
  <si>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</si>
  <si>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</si>
  <si>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</si>
  <si>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</si>
  <si>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</si>
  <si>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</si>
  <si>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</si>
  <si>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</si>
  <si>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</si>
  <si>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</si>
  <si>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</si>
  <si>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</si>
  <si>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</si>
  <si>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</si>
  <si>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</si>
  <si>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</si>
  <si>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</si>
  <si>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</si>
  <si>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</si>
  <si>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</si>
  <si>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</si>
  <si>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</si>
  <si>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</si>
  <si>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</si>
  <si>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</si>
  <si>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</si>
  <si>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</si>
  <si>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</si>
  <si>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</si>
  <si>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</si>
  <si>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</si>
  <si>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</si>
  <si>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</si>
  <si>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</si>
  <si>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</si>
  <si>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</si>
  <si>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</si>
  <si>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</si>
  <si>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</si>
  <si>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</si>
  <si>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</si>
  <si>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</si>
  <si>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</si>
  <si>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</si>
  <si>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</si>
  <si>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</si>
  <si>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</si>
  <si>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</si>
  <si>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</si>
  <si>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</si>
  <si>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</si>
  <si>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</si>
  <si>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</si>
  <si>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</si>
  <si>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</si>
  <si>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</si>
  <si>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</si>
  <si>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</si>
  <si>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</si>
  <si>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</si>
  <si>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</si>
  <si>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</si>
  <si>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</si>
  <si>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</si>
  <si>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</si>
  <si>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</si>
  <si>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</si>
  <si>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</si>
  <si>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</si>
  <si>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</si>
  <si>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</si>
  <si>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</si>
  <si>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</si>
  <si>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</si>
  <si>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</si>
  <si>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</si>
  <si>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</si>
  <si>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</si>
  <si>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</si>
  <si>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</si>
  <si>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</si>
  <si>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</si>
  <si>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</si>
  <si>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</si>
  <si>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</si>
  <si>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</si>
  <si>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</si>
  <si>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</si>
  <si>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</si>
  <si>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</si>
  <si>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</si>
  <si>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</si>
  <si>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</si>
  <si>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</si>
  <si>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</si>
  <si>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</si>
  <si>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</si>
  <si>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</si>
  <si>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</si>
  <si>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</si>
  <si>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</si>
  <si>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</si>
  <si>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</si>
  <si>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</si>
  <si>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</si>
  <si>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</si>
  <si>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</si>
  <si>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</si>
  <si>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</si>
  <si>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</si>
  <si>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</si>
  <si>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</si>
  <si>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</si>
  <si>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</si>
  <si>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</si>
  <si>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</si>
  <si>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</si>
  <si>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</si>
  <si>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</si>
  <si>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</si>
  <si>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</si>
  <si>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</si>
  <si>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</si>
  <si>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</si>
  <si>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</si>
  <si>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</si>
  <si>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</si>
  <si>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</si>
  <si>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</si>
  <si>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</si>
  <si>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</si>
  <si>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</si>
  <si>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</si>
  <si>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</si>
  <si>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</si>
  <si>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</si>
  <si>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</si>
  <si>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</si>
  <si>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</si>
  <si>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</si>
  <si>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</si>
  <si>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</si>
  <si>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</si>
  <si>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</si>
  <si>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</si>
  <si>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</si>
  <si>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</si>
  <si>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</si>
  <si>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</si>
  <si>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</si>
  <si>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</si>
  <si>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</si>
  <si>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</si>
  <si>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</si>
  <si>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</si>
  <si>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</si>
  <si>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</si>
  <si>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</si>
  <si>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</si>
  <si>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</si>
  <si>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</si>
  <si>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</si>
  <si>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</si>
  <si>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</si>
  <si>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</si>
  <si>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</si>
  <si>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</si>
  <si>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</si>
  <si>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</si>
  <si>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</si>
  <si>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</si>
  <si>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</si>
  <si>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</si>
  <si>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</si>
  <si>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</si>
  <si>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</si>
  <si>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</si>
  <si>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</si>
  <si>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</si>
  <si>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</si>
  <si>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</si>
  <si>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</si>
  <si>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</si>
  <si>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</si>
  <si>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</si>
  <si>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</si>
  <si>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</si>
  <si>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</si>
  <si>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</si>
  <si>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</si>
  <si>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</si>
  <si>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</si>
  <si>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</si>
  <si>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</si>
  <si>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</si>
  <si>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</si>
  <si>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</si>
  <si>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</si>
  <si>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</si>
  <si>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</si>
  <si>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</si>
  <si>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</si>
  <si>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</si>
  <si>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</si>
  <si>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</si>
  <si>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</si>
  <si>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</si>
  <si>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</si>
  <si>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</si>
  <si>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</si>
  <si>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</si>
  <si>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</si>
  <si>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</si>
  <si>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</si>
  <si>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</si>
  <si>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</si>
  <si>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</si>
  <si>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</si>
  <si>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</si>
  <si>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</si>
  <si>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</si>
  <si>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</si>
  <si>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</si>
  <si>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</si>
  <si>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</si>
  <si>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</si>
  <si>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</si>
  <si>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</si>
  <si>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</si>
  <si>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</si>
  <si>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</si>
  <si>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</si>
  <si>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</si>
  <si>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</si>
  <si>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</si>
  <si>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</si>
  <si>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</si>
  <si>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</si>
  <si>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</si>
  <si>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</si>
  <si>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</si>
  <si>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</si>
  <si>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</si>
  <si>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</si>
  <si>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</si>
  <si>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</si>
  <si>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</si>
  <si>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</si>
  <si>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</si>
  <si>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</si>
  <si>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</si>
  <si>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</si>
  <si>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</si>
  <si>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</si>
  <si>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</si>
  <si>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</si>
  <si>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</si>
  <si>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</si>
  <si>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</si>
  <si>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</si>
  <si>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</si>
  <si>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</si>
  <si>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</si>
  <si>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</si>
  <si>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</si>
  <si>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</si>
  <si>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</si>
  <si>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</si>
  <si>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</si>
  <si>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</si>
  <si>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</si>
  <si>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</si>
  <si>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</si>
  <si>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</si>
  <si>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</si>
  <si>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</si>
  <si>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</si>
  <si>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</si>
  <si>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</si>
  <si>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</si>
  <si>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</si>
  <si>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</si>
  <si>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</si>
  <si>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</si>
  <si>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</si>
  <si>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</si>
  <si>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</si>
  <si>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</si>
  <si>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</si>
  <si>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</si>
  <si>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</si>
  <si>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</si>
  <si>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</si>
  <si>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</si>
  <si>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</si>
  <si>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</si>
  <si>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</si>
  <si>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</si>
  <si>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</si>
  <si>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</si>
  <si>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</si>
  <si>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</si>
  <si>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</si>
  <si>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</si>
  <si>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</si>
  <si>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</si>
  <si>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</si>
  <si>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</si>
  <si>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</si>
  <si>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</si>
  <si>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</si>
  <si>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</si>
  <si>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</si>
  <si>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</si>
  <si>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</si>
  <si>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</si>
  <si>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</si>
  <si>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</si>
  <si>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</si>
  <si>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</si>
  <si>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</si>
  <si>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</si>
  <si>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</si>
  <si>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</si>
  <si>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</si>
  <si>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</si>
  <si>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</si>
  <si>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</si>
  <si>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</si>
  <si>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</si>
  <si>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</si>
  <si>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</si>
  <si>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</si>
  <si>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</si>
  <si>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</si>
  <si>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</si>
  <si>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</si>
  <si>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</si>
  <si>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</si>
  <si>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</si>
  <si>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</si>
  <si>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</si>
  <si>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</si>
  <si>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</si>
  <si>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</si>
  <si>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</si>
  <si>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</si>
  <si>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</si>
  <si>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</si>
  <si>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</si>
  <si>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</si>
  <si>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</si>
  <si>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</si>
  <si>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</si>
  <si>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</si>
  <si>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</si>
  <si>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</si>
  <si>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</si>
  <si>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</si>
  <si>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</si>
  <si>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</si>
  <si>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</si>
  <si>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</si>
  <si>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</si>
  <si>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</si>
  <si>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</si>
  <si>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</si>
  <si>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</si>
  <si>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</si>
  <si>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</si>
  <si>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</si>
  <si>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</si>
  <si>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</si>
  <si>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</si>
  <si>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</si>
  <si>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</si>
  <si>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</si>
  <si>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</si>
  <si>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</si>
  <si>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</si>
  <si>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</si>
  <si>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</si>
  <si>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</si>
  <si>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</si>
  <si>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</si>
  <si>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</si>
  <si>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</si>
  <si>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</si>
  <si>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</si>
  <si>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</si>
  <si>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</si>
  <si>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</si>
  <si>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</si>
  <si>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</si>
  <si>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</si>
  <si>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</si>
  <si>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</si>
  <si>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</si>
  <si>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</si>
  <si>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</si>
  <si>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</si>
  <si>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</si>
  <si>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</si>
  <si>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</si>
  <si>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</si>
  <si>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</si>
  <si>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</si>
  <si>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</si>
  <si>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</si>
  <si>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</si>
  <si>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</si>
  <si>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</si>
  <si>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</si>
  <si>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</si>
  <si>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</si>
  <si>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</si>
  <si>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</si>
  <si>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</si>
  <si>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</si>
  <si>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</si>
  <si>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</si>
  <si>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</si>
  <si>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</si>
  <si>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</si>
  <si>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</si>
  <si>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</si>
  <si>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</si>
  <si>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</si>
  <si>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</si>
  <si>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</si>
  <si>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</si>
  <si>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</si>
  <si>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</si>
  <si>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</si>
  <si>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</si>
  <si>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</si>
  <si>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</si>
  <si>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</si>
  <si>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</si>
  <si>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</si>
  <si>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</si>
  <si>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</si>
  <si>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</si>
  <si>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</si>
  <si>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</si>
  <si>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</si>
  <si>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</si>
  <si>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</si>
  <si>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</si>
  <si>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</si>
  <si>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</si>
  <si>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</si>
  <si>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</si>
  <si>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</si>
  <si>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</si>
  <si>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</si>
  <si>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</si>
  <si>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</si>
  <si>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</si>
  <si>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</si>
  <si>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</si>
  <si>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</si>
  <si>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</si>
  <si>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</si>
  <si>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</si>
  <si>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</si>
  <si>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</si>
  <si>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</si>
  <si>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</si>
  <si>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</si>
  <si>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</si>
  <si>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</si>
  <si>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</si>
  <si>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</si>
  <si>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</si>
  <si>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</si>
  <si>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</si>
  <si>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</si>
  <si>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</si>
  <si>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</si>
  <si>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</si>
  <si>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</si>
  <si>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</si>
  <si>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</si>
  <si>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</si>
  <si>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</si>
  <si>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</si>
  <si>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</si>
  <si>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</si>
  <si>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</si>
  <si>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</si>
  <si>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</si>
  <si>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</si>
  <si>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</si>
  <si>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</si>
  <si>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</si>
  <si>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</si>
  <si>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</si>
  <si>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</si>
  <si>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</si>
  <si>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</si>
  <si>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</si>
  <si>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</si>
  <si>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</si>
  <si>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</si>
  <si>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</si>
  <si>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</si>
  <si>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</si>
  <si>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</si>
  <si>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</si>
  <si>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</si>
  <si>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</si>
  <si>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</si>
  <si>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</si>
  <si>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</si>
  <si>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</si>
  <si>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</si>
  <si>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</si>
  <si>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</si>
  <si>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</si>
  <si>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</si>
  <si>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</si>
  <si>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</si>
  <si>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</si>
  <si>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</si>
  <si>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</si>
  <si>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</si>
  <si>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</si>
  <si>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</si>
  <si>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</si>
  <si>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</si>
  <si>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</si>
  <si>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</si>
  <si>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</si>
  <si>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</si>
  <si>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</si>
  <si>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</si>
  <si>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</si>
  <si>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</si>
  <si>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</si>
  <si>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</si>
  <si>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</si>
  <si>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</si>
  <si>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</si>
  <si>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</si>
  <si>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</si>
  <si>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</si>
  <si>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</si>
  <si>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</si>
  <si>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</si>
  <si>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</si>
  <si>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</si>
  <si>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</si>
  <si>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</si>
  <si>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</si>
  <si>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</si>
  <si>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</si>
  <si>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</si>
  <si>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</si>
  <si>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</si>
  <si>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</si>
  <si>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</si>
  <si>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</si>
  <si>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</si>
  <si>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</si>
  <si>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</si>
  <si>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</si>
  <si>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</si>
  <si>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</si>
  <si>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</si>
  <si>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</si>
  <si>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</si>
  <si>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</si>
  <si>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</si>
  <si>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</si>
  <si>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</si>
  <si>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</si>
  <si>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</si>
  <si>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</si>
  <si>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</si>
  <si>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</si>
  <si>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</si>
  <si>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</si>
  <si>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</si>
  <si>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</si>
  <si>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</si>
  <si>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</si>
  <si>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</si>
  <si>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</si>
  <si>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</si>
  <si>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</si>
  <si>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</si>
  <si>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</si>
  <si>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</si>
  <si>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</si>
  <si>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</si>
  <si>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</si>
  <si>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</si>
  <si>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</si>
  <si>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</si>
  <si>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</si>
  <si>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</si>
  <si>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</si>
  <si>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</si>
  <si>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</si>
  <si>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</si>
  <si>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</si>
  <si>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</si>
  <si>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</si>
  <si>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</si>
  <si>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</si>
  <si>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</si>
  <si>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</si>
  <si>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</si>
  <si>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</si>
  <si>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</si>
  <si>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</si>
  <si>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</si>
  <si>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</si>
  <si>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</si>
  <si>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</si>
  <si>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</si>
  <si>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</si>
  <si>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</si>
  <si>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</si>
  <si>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</si>
  <si>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</si>
  <si>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</si>
  <si>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</si>
  <si>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</si>
  <si>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</si>
  <si>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</si>
  <si>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</si>
  <si>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</si>
  <si>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</si>
  <si>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</si>
  <si>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</si>
  <si>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</si>
  <si>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</si>
  <si>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</si>
  <si>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</si>
  <si>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</si>
  <si>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</si>
  <si>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</si>
  <si>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</si>
  <si>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</si>
  <si>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</si>
  <si>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</si>
  <si>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</si>
  <si>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</si>
  <si>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</si>
  <si>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</si>
  <si>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</si>
  <si>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</si>
  <si>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</si>
  <si>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</si>
  <si>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</si>
  <si>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</si>
  <si>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</si>
  <si>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</si>
  <si>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</si>
  <si>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</si>
  <si>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</si>
  <si>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</si>
  <si>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</si>
  <si>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</si>
  <si>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</si>
  <si>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</si>
  <si>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</si>
  <si>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</si>
  <si>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</si>
  <si>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</si>
  <si>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</si>
  <si>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</si>
  <si>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</si>
  <si>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</si>
  <si>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</si>
  <si>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</si>
  <si>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</si>
  <si>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</si>
  <si>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</si>
  <si>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</si>
  <si>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</si>
  <si>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</si>
  <si>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</si>
  <si>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</si>
  <si>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</si>
  <si>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</si>
  <si>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</si>
  <si>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</si>
  <si>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</si>
  <si>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</si>
  <si>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</si>
  <si>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</si>
  <si>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</si>
  <si>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</si>
  <si>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</si>
  <si>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</si>
  <si>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</si>
  <si>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</si>
  <si>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</si>
  <si>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</si>
  <si>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</si>
  <si>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</si>
  <si>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</si>
  <si>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</si>
  <si>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</si>
  <si>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</si>
  <si>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</si>
  <si>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</si>
  <si>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</si>
  <si>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</si>
  <si>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</si>
  <si>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</si>
  <si>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</si>
  <si>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</si>
  <si>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</si>
  <si>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</si>
  <si>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</si>
  <si>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</si>
  <si>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</si>
  <si>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</si>
  <si>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</si>
  <si>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</si>
  <si>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</si>
  <si>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</si>
  <si>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</si>
  <si>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</si>
  <si>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</si>
  <si>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</si>
  <si>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</si>
  <si>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</si>
  <si>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</si>
  <si>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</si>
  <si>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</si>
  <si>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</si>
  <si>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</si>
  <si>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</si>
  <si>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</si>
  <si>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</si>
  <si>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</si>
  <si>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</si>
  <si>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</si>
  <si>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</si>
  <si>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</si>
  <si>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</si>
  <si>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</si>
  <si>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</si>
  <si>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</si>
  <si>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</si>
  <si>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</si>
  <si>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</si>
  <si>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</si>
  <si>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</si>
  <si>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</si>
  <si>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</si>
  <si>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</si>
  <si>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</si>
  <si>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</si>
  <si>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</si>
  <si>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</si>
  <si>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</si>
  <si>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</si>
  <si>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</si>
  <si>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</si>
  <si>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</si>
  <si>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</si>
  <si>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</si>
  <si>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</si>
  <si>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</si>
  <si>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</si>
  <si>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</si>
  <si>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</si>
  <si>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</si>
  <si>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</si>
  <si>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</si>
  <si>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</si>
  <si>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</si>
  <si>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</si>
  <si>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</si>
  <si>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</si>
  <si>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</si>
  <si>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</si>
  <si>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</si>
  <si>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</si>
  <si>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</si>
  <si>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</si>
  <si>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</si>
  <si>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</si>
  <si>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</si>
  <si>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</si>
  <si>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</si>
  <si>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</si>
  <si>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</si>
  <si>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</si>
  <si>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</si>
  <si>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</si>
  <si>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</si>
  <si>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</si>
  <si>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</si>
  <si>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</si>
  <si>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</si>
  <si>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</si>
  <si>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</si>
  <si>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</si>
  <si>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</si>
  <si>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</si>
  <si>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</si>
  <si>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</si>
  <si>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</si>
  <si>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</si>
  <si>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</si>
  <si>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</si>
  <si>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</si>
  <si>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</si>
  <si>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</si>
  <si>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</si>
  <si>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</si>
  <si>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</si>
  <si>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</si>
  <si>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</si>
  <si>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</si>
  <si>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</si>
  <si>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</si>
  <si>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</si>
  <si>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</si>
  <si>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</si>
  <si>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</si>
  <si>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</si>
  <si>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</si>
  <si>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</si>
  <si>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</si>
  <si>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</si>
  <si>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</si>
  <si>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</si>
  <si>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</si>
  <si>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</si>
  <si>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</si>
  <si>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</si>
  <si>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</si>
  <si>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</si>
  <si>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</si>
  <si>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</si>
  <si>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</si>
  <si>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</si>
  <si>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</si>
  <si>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</si>
  <si>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</si>
  <si>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</si>
  <si>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</si>
  <si>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</si>
  <si>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</si>
  <si>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</si>
  <si>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</si>
  <si>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</si>
  <si>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</si>
  <si>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</si>
  <si>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</si>
  <si>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</si>
  <si>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</si>
  <si>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</si>
  <si>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</si>
  <si>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</si>
  <si>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</si>
  <si>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</si>
  <si>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</si>
  <si>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</si>
  <si>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</si>
  <si>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</si>
  <si>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</si>
  <si>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</si>
  <si>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</si>
  <si>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</si>
  <si>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</si>
  <si>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</si>
  <si>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</si>
  <si>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</si>
  <si>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</si>
  <si>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</si>
  <si>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</si>
  <si>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</si>
  <si>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</si>
  <si>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</si>
  <si>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</si>
  <si>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</si>
  <si>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</si>
  <si>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</si>
  <si>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</si>
  <si>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</si>
  <si>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</si>
  <si>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</si>
  <si>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</si>
  <si>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</si>
  <si>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</si>
  <si>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</si>
  <si>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</si>
  <si>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</si>
  <si>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</si>
  <si>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</si>
  <si>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</si>
  <si>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</si>
  <si>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</si>
  <si>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</si>
  <si>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</si>
  <si>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</si>
  <si>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</si>
  <si>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</si>
  <si>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</si>
  <si>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</si>
  <si>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</si>
  <si>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</si>
  <si>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</si>
  <si>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</si>
  <si>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</si>
  <si>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</si>
  <si>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</si>
  <si>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</si>
  <si>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</si>
  <si>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</si>
  <si>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</si>
  <si>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</si>
  <si>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</si>
  <si>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</si>
  <si>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</si>
  <si>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</si>
  <si>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</si>
  <si>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</si>
  <si>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</si>
  <si>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</si>
  <si>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</si>
  <si>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</si>
  <si>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</si>
  <si>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</si>
  <si>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</si>
  <si>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</si>
  <si>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</si>
  <si>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</si>
  <si>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</si>
  <si>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</si>
  <si>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</si>
  <si>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</si>
  <si>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</si>
  <si>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</si>
  <si>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</si>
  <si>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</si>
  <si>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</si>
  <si>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</si>
  <si>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</si>
  <si>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</si>
  <si>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</si>
  <si>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</si>
  <si>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</si>
  <si>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</si>
  <si>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</si>
  <si>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</si>
  <si>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</si>
  <si>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</si>
  <si>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</si>
  <si>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</si>
  <si>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</si>
  <si>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</si>
  <si>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</si>
  <si>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</si>
  <si>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</si>
  <si>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</si>
  <si>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</si>
  <si>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</si>
  <si>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</si>
  <si>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</si>
  <si>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</si>
  <si>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</si>
  <si>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</si>
  <si>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</si>
  <si>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</si>
  <si>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</si>
  <si>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</si>
  <si>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</si>
  <si>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</si>
  <si>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</si>
  <si>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</si>
  <si>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</si>
  <si>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</si>
  <si>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</si>
  <si>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</si>
  <si>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</si>
  <si>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</si>
  <si>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</si>
  <si>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</si>
  <si>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</si>
  <si>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</si>
  <si>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</si>
  <si>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</si>
  <si>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</si>
  <si>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</si>
  <si>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</si>
  <si>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</si>
  <si>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</si>
  <si>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</si>
  <si>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</si>
  <si>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</si>
  <si>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</si>
  <si>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</si>
  <si>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</si>
  <si>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</si>
  <si>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</si>
  <si>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</si>
  <si>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</si>
  <si>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</si>
  <si>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</si>
  <si>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</si>
  <si>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</si>
  <si>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</si>
  <si>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</si>
  <si>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</si>
  <si>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</si>
  <si>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</si>
  <si>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</si>
  <si>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</si>
  <si>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</si>
  <si>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</si>
  <si>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</si>
  <si>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</si>
  <si>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</si>
  <si>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</si>
  <si>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</si>
  <si>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</si>
  <si>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</si>
  <si>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</si>
  <si>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</si>
  <si>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</si>
  <si>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</si>
  <si>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</si>
  <si>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</si>
  <si>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</si>
  <si>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</si>
  <si>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</si>
  <si>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</si>
  <si>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</si>
  <si>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</si>
  <si>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</si>
  <si>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</si>
  <si>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</si>
  <si>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</si>
  <si>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</si>
  <si>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</si>
  <si>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</si>
  <si>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</si>
  <si>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</si>
  <si>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</si>
  <si>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</si>
  <si>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</si>
  <si>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</si>
  <si>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</si>
  <si>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</si>
  <si>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</si>
  <si>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</si>
  <si>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</si>
  <si>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</si>
  <si>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</si>
  <si>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</si>
  <si>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</si>
  <si>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</si>
  <si>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</si>
  <si>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</si>
  <si>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</si>
  <si>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</si>
  <si>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</si>
  <si>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</si>
  <si>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</si>
  <si>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</si>
  <si>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</si>
  <si>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</si>
  <si>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</si>
  <si>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</si>
  <si>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</si>
  <si>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</si>
  <si>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</si>
  <si>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</si>
  <si>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</si>
  <si>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</si>
  <si>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</si>
  <si>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</si>
  <si>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</si>
  <si>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</si>
  <si>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</si>
  <si>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</si>
  <si>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</si>
  <si>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</si>
  <si>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</si>
  <si>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</si>
  <si>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</si>
  <si>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</si>
  <si>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</si>
  <si>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</si>
  <si>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</si>
  <si>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</si>
  <si>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</si>
  <si>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</si>
  <si>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</si>
  <si>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</si>
  <si>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</si>
  <si>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</si>
  <si>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</si>
  <si>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</si>
  <si>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</si>
  <si>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</si>
  <si>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</si>
  <si>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</si>
  <si>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</si>
  <si>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</si>
  <si>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</si>
  <si>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</si>
  <si>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</si>
  <si>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</si>
  <si>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</si>
  <si>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</si>
  <si>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</si>
  <si>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</si>
  <si>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</si>
  <si>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</si>
  <si>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</si>
  <si>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</si>
  <si>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</si>
  <si>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</si>
  <si>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</si>
  <si>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</si>
  <si>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</si>
  <si>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</si>
  <si>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</si>
  <si>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</si>
  <si>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</si>
  <si>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</si>
  <si>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</si>
  <si>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</si>
  <si>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</si>
  <si>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</si>
  <si>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</si>
  <si>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</si>
  <si>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</si>
  <si>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</si>
  <si>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</si>
  <si>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</si>
  <si>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</si>
  <si>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</si>
  <si>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</si>
  <si>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</si>
  <si>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</si>
  <si>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</si>
  <si>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</si>
  <si>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</si>
  <si>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</si>
  <si>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</si>
  <si>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</si>
  <si>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</si>
  <si>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</si>
  <si>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</si>
  <si>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</si>
  <si>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</si>
  <si>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</si>
  <si>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</si>
  <si>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</si>
  <si>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</si>
  <si>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</si>
  <si>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</si>
  <si>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</si>
  <si>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</si>
  <si>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</si>
  <si>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</si>
  <si>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</si>
  <si>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</si>
  <si>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</si>
  <si>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</si>
  <si>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</si>
  <si>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</si>
  <si>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</si>
  <si>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</si>
  <si>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</si>
  <si>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</si>
  <si>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</si>
  <si>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</si>
  <si>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</si>
  <si>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</si>
  <si>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</si>
  <si>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</si>
  <si>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</si>
  <si>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</si>
  <si>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</si>
  <si>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</si>
  <si>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</si>
  <si>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</si>
  <si>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</si>
  <si>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</si>
  <si>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</si>
  <si>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</si>
  <si>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</si>
  <si>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</si>
  <si>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</si>
  <si>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</si>
  <si>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</si>
  <si>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</si>
  <si>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</si>
  <si>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</si>
  <si>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</si>
  <si>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</si>
  <si>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</si>
  <si>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</si>
  <si>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</si>
  <si>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</si>
  <si>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</si>
  <si>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</si>
  <si>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</si>
  <si>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</si>
  <si>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</si>
  <si>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</si>
  <si>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</si>
  <si>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</si>
  <si>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</si>
  <si>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</si>
  <si>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</si>
  <si>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</si>
  <si>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</si>
  <si>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</si>
  <si>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</si>
  <si>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</si>
  <si>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</si>
  <si>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</si>
  <si>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</si>
  <si>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</si>
  <si>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</si>
  <si>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</si>
  <si>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</si>
  <si>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</si>
  <si>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</si>
  <si>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</si>
  <si>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</si>
  <si>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</si>
  <si>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</si>
  <si>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</si>
  <si>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</si>
  <si>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</si>
  <si>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</si>
  <si>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</si>
  <si>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</si>
  <si>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</si>
  <si>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</si>
  <si>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</si>
  <si>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</si>
  <si>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</si>
  <si>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</si>
  <si>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</si>
  <si>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</si>
  <si>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</si>
  <si>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</si>
  <si>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</si>
  <si>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</si>
  <si>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</si>
  <si>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</si>
  <si>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</si>
  <si>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</si>
  <si>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</si>
  <si>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</si>
  <si>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</si>
  <si>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</si>
  <si>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</si>
  <si>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</si>
  <si>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</si>
  <si>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</si>
  <si>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</si>
  <si>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</si>
  <si>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</si>
  <si>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</si>
  <si>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</si>
  <si>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</si>
  <si>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</si>
  <si>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</si>
  <si>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</si>
  <si>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</si>
  <si>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</si>
  <si>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</si>
  <si>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</si>
  <si>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</si>
  <si>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</si>
  <si>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</si>
  <si>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</si>
  <si>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</si>
  <si>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</si>
  <si>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</si>
  <si>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</si>
  <si>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</si>
  <si>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</si>
  <si>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</si>
  <si>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</si>
  <si>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</si>
  <si>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</si>
  <si>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</si>
  <si>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</si>
  <si>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</si>
  <si>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</si>
  <si>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</si>
  <si>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</si>
  <si>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</si>
  <si>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</si>
  <si>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</si>
  <si>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</si>
  <si>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</si>
  <si>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</si>
  <si>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</si>
  <si>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</si>
  <si>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</si>
  <si>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</si>
  <si>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</si>
  <si>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</si>
  <si>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</si>
  <si>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</si>
  <si>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</si>
  <si>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</si>
  <si>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</si>
  <si>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</si>
  <si>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</si>
  <si>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</si>
  <si>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</si>
  <si>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</si>
  <si>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</si>
  <si>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</si>
  <si>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</si>
  <si>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</si>
  <si>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</si>
  <si>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</si>
  <si>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</si>
  <si>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</si>
  <si>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</si>
  <si>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</si>
  <si>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</si>
  <si>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</si>
  <si>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</si>
  <si>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</si>
  <si>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</si>
  <si>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</si>
  <si>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</si>
  <si>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</si>
  <si>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</si>
  <si>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</si>
  <si>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</si>
  <si>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</si>
  <si>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</si>
  <si>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</si>
  <si>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</si>
  <si>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</si>
  <si>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</si>
  <si>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</si>
  <si>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</si>
  <si>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</si>
  <si>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</si>
  <si>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</si>
  <si>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</si>
  <si>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</si>
  <si>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</si>
  <si>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</si>
  <si>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</si>
  <si>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</si>
  <si>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</si>
  <si>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</si>
  <si>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</si>
  <si>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</si>
  <si>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</si>
  <si>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</si>
  <si>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</si>
  <si>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</si>
  <si>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</si>
  <si>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</si>
  <si>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</si>
  <si>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</si>
  <si>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</si>
  <si>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</si>
  <si>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</si>
  <si>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</si>
  <si>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</si>
  <si>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</si>
  <si>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</si>
  <si>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</si>
  <si>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</si>
  <si>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</si>
  <si>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</si>
  <si>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</si>
  <si>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</si>
  <si>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</si>
  <si>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</si>
  <si>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</si>
  <si>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</si>
  <si>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</si>
  <si>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</si>
  <si>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</si>
  <si>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</si>
  <si>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</si>
  <si>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</si>
  <si>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</si>
  <si>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</si>
  <si>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</si>
  <si>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</si>
  <si>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</si>
  <si>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</si>
  <si>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</si>
  <si>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</si>
  <si>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</si>
  <si>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</si>
  <si>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</si>
  <si>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</si>
  <si>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</si>
  <si>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</si>
  <si>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</si>
  <si>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</si>
  <si>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</si>
  <si>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</si>
  <si>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</si>
  <si>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</si>
  <si>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</si>
  <si>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</si>
  <si>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</si>
  <si>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</si>
  <si>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</si>
  <si>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</si>
  <si>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</si>
  <si>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</si>
  <si>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</si>
  <si>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</si>
  <si>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</si>
  <si>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</si>
  <si>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</si>
  <si>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</si>
  <si>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</si>
  <si>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</si>
  <si>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</si>
  <si>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</si>
  <si>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</si>
  <si>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</si>
  <si>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</si>
  <si>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</si>
  <si>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</si>
  <si>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</si>
  <si>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</si>
  <si>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</si>
  <si>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</si>
  <si>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</si>
  <si>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</si>
  <si>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</si>
  <si>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</si>
  <si>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</si>
  <si>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</si>
  <si>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</si>
  <si>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</si>
  <si>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</si>
  <si>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</si>
  <si>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</si>
  <si>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</si>
  <si>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</si>
  <si>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</si>
  <si>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</si>
  <si>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</si>
  <si>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</si>
  <si>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</si>
  <si>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</si>
  <si>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</si>
  <si>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</si>
  <si>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</si>
  <si>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</si>
  <si>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</si>
  <si>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</si>
  <si>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</si>
  <si>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</si>
  <si>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</si>
  <si>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</si>
  <si>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</si>
  <si>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</si>
  <si>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</si>
  <si>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</si>
  <si>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</si>
  <si>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</si>
  <si>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</si>
  <si>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</si>
  <si>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</si>
  <si>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</si>
  <si>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</si>
  <si>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</si>
  <si>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</si>
  <si>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</si>
  <si>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</si>
  <si>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</si>
  <si>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</si>
  <si>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</si>
  <si>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</si>
  <si>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</si>
  <si>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</si>
  <si>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</si>
  <si>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</si>
  <si>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</si>
  <si>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</si>
  <si>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</si>
  <si>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</si>
  <si>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</si>
  <si>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</si>
  <si>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</si>
  <si>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</si>
  <si>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</si>
  <si>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</si>
  <si>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</si>
  <si>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</si>
  <si>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</si>
  <si>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</si>
  <si>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</si>
  <si>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</si>
  <si>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</si>
  <si>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</si>
  <si>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</si>
  <si>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</si>
  <si>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</si>
  <si>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</si>
  <si>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</si>
  <si>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</si>
  <si>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</si>
  <si>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</si>
  <si>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</si>
  <si>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</si>
  <si>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</si>
  <si>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</si>
  <si>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</si>
  <si>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</si>
  <si>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</si>
  <si>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</si>
  <si>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</si>
  <si>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</si>
  <si>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</si>
  <si>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</si>
  <si>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</si>
  <si>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</si>
  <si>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</si>
  <si>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</si>
  <si>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</si>
  <si>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</si>
  <si>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</si>
  <si>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</si>
  <si>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</si>
  <si>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</si>
  <si>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</si>
  <si>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</si>
  <si>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</si>
  <si>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</si>
  <si>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</si>
  <si>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</si>
  <si>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</si>
  <si>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</si>
  <si>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</si>
  <si>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</si>
  <si>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</si>
  <si>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</si>
  <si>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</si>
  <si>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</si>
  <si>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</si>
  <si>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</si>
  <si>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</si>
  <si>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</si>
  <si>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</si>
  <si>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</si>
  <si>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</si>
  <si>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</si>
  <si>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</si>
  <si>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</si>
  <si>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</si>
  <si>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</si>
  <si>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</si>
  <si>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</si>
  <si>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</si>
  <si>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</si>
  <si>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</si>
  <si>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</si>
  <si>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</si>
  <si>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</si>
  <si>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</si>
  <si>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</si>
  <si>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</si>
  <si>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</si>
  <si>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</si>
  <si>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</si>
  <si>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</si>
  <si>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</si>
  <si>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</si>
  <si>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</si>
  <si>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</si>
  <si>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</si>
  <si>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</si>
  <si>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</si>
  <si>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</si>
  <si>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</si>
  <si>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</si>
  <si>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</si>
  <si>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</si>
  <si>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</si>
  <si>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</si>
  <si>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</si>
  <si>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</si>
  <si>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</si>
  <si>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</si>
  <si>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</si>
  <si>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</si>
  <si>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</si>
  <si>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</si>
  <si>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</si>
  <si>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</si>
  <si>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</si>
  <si>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</si>
  <si>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</si>
  <si>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</si>
  <si>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</si>
  <si>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</si>
  <si>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</si>
  <si>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</si>
  <si>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</si>
  <si>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</si>
  <si>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</si>
  <si>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</si>
  <si>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</si>
  <si>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</si>
  <si>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</si>
  <si>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</si>
  <si>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</si>
  <si>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</si>
  <si>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</si>
  <si>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</si>
  <si>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</si>
  <si>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</si>
  <si>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</si>
  <si>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</si>
  <si>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</si>
  <si>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</si>
  <si>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</si>
  <si>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</si>
  <si>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</si>
  <si>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</si>
  <si>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</si>
  <si>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</si>
  <si>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</si>
  <si>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</si>
  <si>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</si>
  <si>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</si>
  <si>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</si>
  <si>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</si>
  <si>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</si>
  <si>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</si>
  <si>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</si>
  <si>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</si>
  <si>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</si>
  <si>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</si>
  <si>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</si>
  <si>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</si>
  <si>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</si>
  <si>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</si>
  <si>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</si>
  <si>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</si>
  <si>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</si>
  <si>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</si>
  <si>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</si>
  <si>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</si>
  <si>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</si>
  <si>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</si>
  <si>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</si>
  <si>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</si>
  <si>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</si>
  <si>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</si>
  <si>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</si>
  <si>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</si>
  <si>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</si>
  <si>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</si>
  <si>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</si>
  <si>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</si>
  <si>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</si>
  <si>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</si>
  <si>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</si>
  <si>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</si>
  <si>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</si>
  <si>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</si>
  <si>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</si>
  <si>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</si>
  <si>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</si>
  <si>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</si>
  <si>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</si>
  <si>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</si>
  <si>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</si>
  <si>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</si>
  <si>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</si>
  <si>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</si>
  <si>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</si>
  <si>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</si>
  <si>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</si>
  <si>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</si>
  <si>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</si>
  <si>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</si>
  <si>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</si>
  <si>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</si>
  <si>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</si>
  <si>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</si>
  <si>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</si>
  <si>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</si>
  <si>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</si>
  <si>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</si>
  <si>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</si>
  <si>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</si>
  <si>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</si>
  <si>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</si>
  <si>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</si>
  <si>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</si>
  <si>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</si>
  <si>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</si>
  <si>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</si>
  <si>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</si>
  <si>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</si>
  <si>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</si>
  <si>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</si>
  <si>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</si>
  <si>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</si>
  <si>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</si>
  <si>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</si>
  <si>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</si>
  <si>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</si>
  <si>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</si>
  <si>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</si>
  <si>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</si>
  <si>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</si>
  <si>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</si>
  <si>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</si>
  <si>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</si>
  <si>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</si>
  <si>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</si>
  <si>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</si>
  <si>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</si>
  <si>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</si>
  <si>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</si>
  <si>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</si>
  <si>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</si>
  <si>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</si>
  <si>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</si>
  <si>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</si>
  <si>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</si>
  <si>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</si>
  <si>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</si>
  <si>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</si>
  <si>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</si>
  <si>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</si>
  <si>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</si>
  <si>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</si>
  <si>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</si>
  <si>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</si>
  <si>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</si>
  <si>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</si>
  <si>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</si>
  <si>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</si>
  <si>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</si>
  <si>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</si>
  <si>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</si>
  <si>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</si>
  <si>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</si>
  <si>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</si>
  <si>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</si>
  <si>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</si>
  <si>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</si>
  <si>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</si>
  <si>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</si>
  <si>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</si>
  <si>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</si>
  <si>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</si>
  <si>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</si>
  <si>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</si>
  <si>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</si>
  <si>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</si>
  <si>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</si>
  <si>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</si>
  <si>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</si>
  <si>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</si>
  <si>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</si>
  <si>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</si>
  <si>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</si>
  <si>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</si>
  <si>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</si>
  <si>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</si>
  <si>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</si>
  <si>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</si>
  <si>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</si>
  <si>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</si>
  <si>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</si>
  <si>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</si>
  <si>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</si>
  <si>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</si>
  <si>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</si>
  <si>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</si>
  <si>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</si>
  <si>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</si>
  <si>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</si>
  <si>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</si>
  <si>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</si>
  <si>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</si>
  <si>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</si>
  <si>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</si>
  <si>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</si>
  <si>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</si>
  <si>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</si>
  <si>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</si>
  <si>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</si>
  <si>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</si>
  <si>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</si>
  <si>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</si>
  <si>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</si>
  <si>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</si>
  <si>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</si>
  <si>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</si>
  <si>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</si>
  <si>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</si>
  <si>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</si>
  <si>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</si>
  <si>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</si>
  <si>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</si>
  <si>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</si>
  <si>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</si>
  <si>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</si>
  <si>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</si>
  <si>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</si>
  <si>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</si>
  <si>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</si>
  <si>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</si>
  <si>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</si>
  <si>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</si>
  <si>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</si>
  <si>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</si>
  <si>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</si>
  <si>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</si>
  <si>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</si>
  <si>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</si>
  <si>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</si>
  <si>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</si>
  <si>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</si>
  <si>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</si>
  <si>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</si>
  <si>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</si>
  <si>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</si>
  <si>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</si>
  <si>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</si>
  <si>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</si>
  <si>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</si>
  <si>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</si>
  <si>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</si>
  <si>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</si>
  <si>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</si>
  <si>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</si>
  <si>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</si>
  <si>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</si>
  <si>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</si>
  <si>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</si>
  <si>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</si>
  <si>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</si>
  <si>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</si>
  <si>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</si>
  <si>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</si>
  <si>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</si>
  <si>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</si>
  <si>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</si>
  <si>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</si>
  <si>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</si>
  <si>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</si>
  <si>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</si>
  <si>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</si>
  <si>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</si>
  <si>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</si>
  <si>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</si>
  <si>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</si>
  <si>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</si>
  <si>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</si>
  <si>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</si>
  <si>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</si>
  <si>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</si>
  <si>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</si>
  <si>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</si>
  <si>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</si>
  <si>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</si>
  <si>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</si>
  <si>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</si>
  <si>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</si>
  <si>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</si>
  <si>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</si>
  <si>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</si>
  <si>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</si>
  <si>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</si>
  <si>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</si>
  <si>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</si>
  <si>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</si>
  <si>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</si>
  <si>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</si>
  <si>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</si>
  <si>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</si>
  <si>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</si>
  <si>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</si>
  <si>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</si>
  <si>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</si>
  <si>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</si>
  <si>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</si>
  <si>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</si>
  <si>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</si>
  <si>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</si>
  <si>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</si>
  <si>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</si>
  <si>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</si>
  <si>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</si>
  <si>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</si>
  <si>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</si>
  <si>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</si>
  <si>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</si>
  <si>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</si>
  <si>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</si>
  <si>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</si>
  <si>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</si>
  <si>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</si>
  <si>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</si>
  <si>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</si>
  <si>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</si>
  <si>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</si>
  <si>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</si>
  <si>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</si>
  <si>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</si>
  <si>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</si>
  <si>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</si>
  <si>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</si>
  <si>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</si>
  <si>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</si>
  <si>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</si>
  <si>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</si>
  <si>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</si>
  <si>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</si>
  <si>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</si>
  <si>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</si>
  <si>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</si>
  <si>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</si>
  <si>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</si>
  <si>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</si>
  <si>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</si>
  <si>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</si>
  <si>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</si>
  <si>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</si>
  <si>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</si>
  <si>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</si>
  <si>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</si>
  <si>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</si>
  <si>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</si>
  <si>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</si>
  <si>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</si>
  <si>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</si>
  <si>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</si>
  <si>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</si>
  <si>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</si>
  <si>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</si>
  <si>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</si>
  <si>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</si>
  <si>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</si>
  <si>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</si>
  <si>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</si>
  <si>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</si>
  <si>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</si>
  <si>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</si>
  <si>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</si>
  <si>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</si>
  <si>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</si>
  <si>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</si>
  <si>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</si>
  <si>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</si>
  <si>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</si>
  <si>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</si>
  <si>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</si>
  <si>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</si>
  <si>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</si>
  <si>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</si>
  <si>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</si>
  <si>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</si>
  <si>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</si>
  <si>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</si>
  <si>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</si>
  <si>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</si>
  <si>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</si>
  <si>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</si>
  <si>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</si>
  <si>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</si>
  <si>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</si>
  <si>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</si>
  <si>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</si>
  <si>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</si>
  <si>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</si>
  <si>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</si>
  <si>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</si>
  <si>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</si>
  <si>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</si>
  <si>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</si>
  <si>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</si>
  <si>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</si>
  <si>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</si>
  <si>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</si>
  <si>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</si>
  <si>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</si>
  <si>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</si>
  <si>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</si>
  <si>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</si>
  <si>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</si>
  <si>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</si>
  <si>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</si>
  <si>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</si>
  <si>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</si>
  <si>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</si>
  <si>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</si>
  <si>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</si>
  <si>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</si>
  <si>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</si>
  <si>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</si>
  <si>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</si>
  <si>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</si>
  <si>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</si>
  <si>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</si>
  <si>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</si>
  <si>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</si>
  <si>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</si>
  <si>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</si>
  <si>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</si>
  <si>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</si>
  <si>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</si>
  <si>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</si>
  <si>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</si>
  <si>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</si>
  <si>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</si>
  <si>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</si>
  <si>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</si>
  <si>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</si>
  <si>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</si>
  <si>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</si>
  <si>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</si>
  <si>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</si>
  <si>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</si>
  <si>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</si>
  <si>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</si>
  <si>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</si>
  <si>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</si>
  <si>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</si>
  <si>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</si>
  <si>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</si>
  <si>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</si>
  <si>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</si>
  <si>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</si>
  <si>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</si>
  <si>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</si>
  <si>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</si>
  <si>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</si>
  <si>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</si>
  <si>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</si>
  <si>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</si>
  <si>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</si>
  <si>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</si>
  <si>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</si>
  <si>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</si>
  <si>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</si>
  <si>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</si>
  <si>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</si>
  <si>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</si>
  <si>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</si>
  <si>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</si>
  <si>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</si>
  <si>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</si>
  <si>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</si>
  <si>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</si>
  <si>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</si>
  <si>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</si>
  <si>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</si>
  <si>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</si>
  <si>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</si>
  <si>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</si>
  <si>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</si>
  <si>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</si>
  <si>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</si>
  <si>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</si>
  <si>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</si>
  <si>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</si>
  <si>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</si>
  <si>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</si>
  <si>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</si>
  <si>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</si>
  <si>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</si>
  <si>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</si>
  <si>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</si>
  <si>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</si>
  <si>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</si>
  <si>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</si>
  <si>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</si>
  <si>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</si>
  <si>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</si>
  <si>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</si>
  <si>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</si>
  <si>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</si>
  <si>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</si>
  <si>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</si>
  <si>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</si>
  <si>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</si>
  <si>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</si>
  <si>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</si>
  <si>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</si>
  <si>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</si>
  <si>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</si>
  <si>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</si>
  <si>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</si>
  <si>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</si>
  <si>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</si>
  <si>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</si>
  <si>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</si>
  <si>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</si>
  <si>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</si>
  <si>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</si>
  <si>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</si>
  <si>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</si>
  <si>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</si>
  <si>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</si>
  <si>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</si>
  <si>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</si>
  <si>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</si>
  <si>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</si>
  <si>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</si>
  <si>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</si>
  <si>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</si>
  <si>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</si>
  <si>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</si>
  <si>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</si>
  <si>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</si>
  <si>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</si>
  <si>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</si>
  <si>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</si>
  <si>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</si>
  <si>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</si>
  <si>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</si>
  <si>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</si>
  <si>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</si>
  <si>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</si>
  <si>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</si>
  <si>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</si>
  <si>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</si>
  <si>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</si>
  <si>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</si>
  <si>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</si>
  <si>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</si>
  <si>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</si>
  <si>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</si>
  <si>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</si>
  <si>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</si>
  <si>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</si>
  <si>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</si>
  <si>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</si>
  <si>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</si>
  <si>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</si>
  <si>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</si>
  <si>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</si>
  <si>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</si>
  <si>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</si>
  <si>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</si>
  <si>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</si>
  <si>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</si>
  <si>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</si>
  <si>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</si>
  <si>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</si>
  <si>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</si>
  <si>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</si>
  <si>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</si>
  <si>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</si>
  <si>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</si>
  <si>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</si>
  <si>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</si>
  <si>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</si>
  <si>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</si>
  <si>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</si>
  <si>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</si>
  <si>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</si>
  <si>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</si>
  <si>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</si>
  <si>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</si>
  <si>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</si>
  <si>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</si>
  <si>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</si>
  <si>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</si>
  <si>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</si>
  <si>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</si>
  <si>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</si>
  <si>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</si>
  <si>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</si>
  <si>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</si>
  <si>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</si>
  <si>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</si>
  <si>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</si>
  <si>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</si>
  <si>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</si>
  <si>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</si>
  <si>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</si>
  <si>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</si>
  <si>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</si>
  <si>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</si>
  <si>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</si>
  <si>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</si>
  <si>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</si>
  <si>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</si>
  <si>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</si>
  <si>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</si>
  <si>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</si>
  <si>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</si>
  <si>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</si>
  <si>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</si>
  <si>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</si>
  <si>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</si>
  <si>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</si>
  <si>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</si>
  <si>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</si>
  <si>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</si>
  <si>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</si>
  <si>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</si>
  <si>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</si>
  <si>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</si>
  <si>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</si>
  <si>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</si>
  <si>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</si>
  <si>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</si>
  <si>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</si>
  <si>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</si>
  <si>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</si>
  <si>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</si>
  <si>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</si>
  <si>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</si>
  <si>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</si>
  <si>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</si>
  <si>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</si>
  <si>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</si>
  <si>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</si>
  <si>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</si>
  <si>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</si>
  <si>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</si>
  <si>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</si>
  <si>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</si>
  <si>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</si>
  <si>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</si>
  <si>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</si>
  <si>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</si>
  <si>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</si>
  <si>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</si>
  <si>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</si>
  <si>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</si>
  <si>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</si>
  <si>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</si>
  <si>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</si>
  <si>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</si>
  <si>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</si>
  <si>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</si>
  <si>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</si>
  <si>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</si>
  <si>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</si>
  <si>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</si>
  <si>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</si>
  <si>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</si>
  <si>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</si>
  <si>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</si>
  <si>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</si>
  <si>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</si>
  <si>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</si>
  <si>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</si>
  <si>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</si>
  <si>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</si>
  <si>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</si>
  <si>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</si>
  <si>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</si>
  <si>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</si>
  <si>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</si>
  <si>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</si>
  <si>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</si>
  <si>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</si>
  <si>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</si>
  <si>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</si>
  <si>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</si>
  <si>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</si>
  <si>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</si>
  <si>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</si>
  <si>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</si>
  <si>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</si>
  <si>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</si>
  <si>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</si>
  <si>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</si>
  <si>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</si>
  <si>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</si>
  <si>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</si>
  <si>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</si>
  <si>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</si>
  <si>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</si>
  <si>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</si>
  <si>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</si>
  <si>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</si>
  <si>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</si>
  <si>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</si>
  <si>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</si>
  <si>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</si>
  <si>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</si>
  <si>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</si>
  <si>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</si>
  <si>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</si>
  <si>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</si>
  <si>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</si>
  <si>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</si>
  <si>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</si>
  <si>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</si>
  <si>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</si>
  <si>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</si>
  <si>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</si>
  <si>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</si>
  <si>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</si>
  <si>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</si>
  <si>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</si>
  <si>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</si>
  <si>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</si>
  <si>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</si>
  <si>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</si>
  <si>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</si>
  <si>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</si>
  <si>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</si>
  <si>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</si>
  <si>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</si>
  <si>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</si>
  <si>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</si>
  <si>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</si>
  <si>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</si>
  <si>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</si>
  <si>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</si>
  <si>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</si>
  <si>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</si>
  <si>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</si>
  <si>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</si>
  <si>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</si>
  <si>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</si>
  <si>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</si>
  <si>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</si>
  <si>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</si>
  <si>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</si>
  <si>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</si>
  <si>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</si>
  <si>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</si>
  <si>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</si>
  <si>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</si>
  <si>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</si>
  <si>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</si>
  <si>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</si>
  <si>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</si>
  <si>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</si>
  <si>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</si>
  <si>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</si>
  <si>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</si>
  <si>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</si>
  <si>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</si>
  <si>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</si>
  <si>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</si>
  <si>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</si>
  <si>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</si>
  <si>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</si>
  <si>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</si>
  <si>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</si>
  <si>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</si>
  <si>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</si>
  <si>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</si>
  <si>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</si>
  <si>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</si>
  <si>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</si>
  <si>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</si>
  <si>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</si>
  <si>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</si>
  <si>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</si>
  <si>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</si>
  <si>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</si>
  <si>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</si>
  <si>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</si>
  <si>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</si>
  <si>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</si>
  <si>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</si>
  <si>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</si>
  <si>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</si>
  <si>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</si>
  <si>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</si>
  <si>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</si>
  <si>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</si>
  <si>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</si>
  <si>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</si>
  <si>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</si>
  <si>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</si>
  <si>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</si>
  <si>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</si>
  <si>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</si>
  <si>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</si>
  <si>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</si>
  <si>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</si>
  <si>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</si>
  <si>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</si>
  <si>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</si>
  <si>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</si>
  <si>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</si>
  <si>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</si>
  <si>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</si>
  <si>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</si>
  <si>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</si>
  <si>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</si>
  <si>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</si>
  <si>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</si>
  <si>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</si>
  <si>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</si>
  <si>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</si>
  <si>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</si>
  <si>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</si>
  <si>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</si>
  <si>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</si>
  <si>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</si>
  <si>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</si>
  <si>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</si>
  <si>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</si>
  <si>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</si>
  <si>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</si>
  <si>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</si>
  <si>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</si>
  <si>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</si>
  <si>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</si>
  <si>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</si>
  <si>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</si>
  <si>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</si>
  <si>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</si>
  <si>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</si>
  <si>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</si>
  <si>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</si>
  <si>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</si>
  <si>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</si>
  <si>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</si>
  <si>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</si>
  <si>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</si>
  <si>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</si>
  <si>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</si>
  <si>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</si>
  <si>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</si>
  <si>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</si>
  <si>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</si>
  <si>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</si>
  <si>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</si>
  <si>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</si>
  <si>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</si>
  <si>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</si>
  <si>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</si>
  <si>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</si>
  <si>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</si>
  <si>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</si>
  <si>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</si>
  <si>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</si>
  <si>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</si>
  <si>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</si>
  <si>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</si>
  <si>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</si>
  <si>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</si>
  <si>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</si>
  <si>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</si>
  <si>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</si>
  <si>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</si>
  <si>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</si>
  <si>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</si>
  <si>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</si>
  <si>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</si>
  <si>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</si>
  <si>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</si>
  <si>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</si>
  <si>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</si>
  <si>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</si>
  <si>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</si>
  <si>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</si>
  <si>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</si>
  <si>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</si>
  <si>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</si>
  <si>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</si>
  <si>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</si>
  <si>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</si>
  <si>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</si>
  <si>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</si>
  <si>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</si>
  <si>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</si>
  <si>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</si>
  <si>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</si>
  <si>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</si>
  <si>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</si>
  <si>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</si>
  <si>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</si>
  <si>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</si>
  <si>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</si>
  <si>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</si>
  <si>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</si>
  <si>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</si>
  <si>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</si>
  <si>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</si>
  <si>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</si>
  <si>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</si>
  <si>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</si>
  <si>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</si>
  <si>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</si>
  <si>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</si>
  <si>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</si>
  <si>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</si>
  <si>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</si>
  <si>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</si>
  <si>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</si>
  <si>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</si>
  <si>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</si>
  <si>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</si>
  <si>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</si>
  <si>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</si>
  <si>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</si>
  <si>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</si>
  <si>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</si>
  <si>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</si>
  <si>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</si>
  <si>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</si>
  <si>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</si>
  <si>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</si>
  <si>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</si>
  <si>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</si>
  <si>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</si>
  <si>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</si>
  <si>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</si>
  <si>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</si>
  <si>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</si>
  <si>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</si>
  <si>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</si>
  <si>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</si>
  <si>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</si>
  <si>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</si>
  <si>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</si>
  <si>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</si>
  <si>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</si>
  <si>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</si>
  <si>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</si>
  <si>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</si>
  <si>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</si>
  <si>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</si>
  <si>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</si>
  <si>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</si>
  <si>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</si>
  <si>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</si>
  <si>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</si>
  <si>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</si>
  <si>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</si>
  <si>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</si>
  <si>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</si>
  <si>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</si>
  <si>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</si>
  <si>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</si>
  <si>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</si>
  <si>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</si>
  <si>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</si>
  <si>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</si>
  <si>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</si>
  <si>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</si>
  <si>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</si>
  <si>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</si>
  <si>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</si>
  <si>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</si>
  <si>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</si>
  <si>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</si>
  <si>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</si>
  <si>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</si>
  <si>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</si>
  <si>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</si>
  <si>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</si>
  <si>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</si>
  <si>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</si>
  <si>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</si>
  <si>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</si>
  <si>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</si>
  <si>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</si>
  <si>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</si>
  <si>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</si>
  <si>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</si>
  <si>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</si>
  <si>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</si>
  <si>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</si>
  <si>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</si>
  <si>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</si>
  <si>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</si>
  <si>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</si>
  <si>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</si>
  <si>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</si>
  <si>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</si>
  <si>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</si>
  <si>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</si>
  <si>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</si>
  <si>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</si>
  <si>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</si>
  <si>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</si>
  <si>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</si>
  <si>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</si>
  <si>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</si>
  <si>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</si>
  <si>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</si>
  <si>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</si>
  <si>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</si>
  <si>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</si>
  <si>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</si>
  <si>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</si>
  <si>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</si>
  <si>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</si>
  <si>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</si>
  <si>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</si>
  <si>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</si>
  <si>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</si>
  <si>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</si>
  <si>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</si>
  <si>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</si>
  <si>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</si>
  <si>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</si>
  <si>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</si>
  <si>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</si>
  <si>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</si>
  <si>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</si>
  <si>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</si>
  <si>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</si>
  <si>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</si>
  <si>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</si>
  <si>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</si>
  <si>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</si>
  <si>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</si>
  <si>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</si>
  <si>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</si>
  <si>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</si>
  <si>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</si>
  <si>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</si>
  <si>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</si>
  <si>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</si>
  <si>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</si>
  <si>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</si>
  <si>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</si>
  <si>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</si>
  <si>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</si>
  <si>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</si>
  <si>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</si>
  <si>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</si>
  <si>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</si>
  <si>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</si>
  <si>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</si>
  <si>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</si>
  <si>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</si>
  <si>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</si>
  <si>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</si>
  <si>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</si>
  <si>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</si>
  <si>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</si>
  <si>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</si>
  <si>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</si>
  <si>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</si>
  <si>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</si>
  <si>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</si>
  <si>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</si>
  <si>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</si>
  <si>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</si>
  <si>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</si>
  <si>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</si>
  <si>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</si>
  <si>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</si>
  <si>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</si>
  <si>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</si>
  <si>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</si>
  <si>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</si>
  <si>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</si>
  <si>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</si>
  <si>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</si>
  <si>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</si>
  <si>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</si>
  <si>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</si>
  <si>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</si>
  <si>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</si>
  <si>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</si>
  <si>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</si>
  <si>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</si>
  <si>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</si>
  <si>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</si>
  <si>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</si>
  <si>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</si>
  <si>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</si>
  <si>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</si>
  <si>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</si>
  <si>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</si>
  <si>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</si>
  <si>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</si>
  <si>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</si>
  <si>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</si>
  <si>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</si>
  <si>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</si>
  <si>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</si>
  <si>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</si>
  <si>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</si>
  <si>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</si>
  <si>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</si>
  <si>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</si>
  <si>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</si>
  <si>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</si>
  <si>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</si>
  <si>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</si>
  <si>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</si>
  <si>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</si>
  <si>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</si>
  <si>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</si>
  <si>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</si>
  <si>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</si>
  <si>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</si>
  <si>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</si>
  <si>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</si>
  <si>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</si>
  <si>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</si>
  <si>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</si>
  <si>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</si>
  <si>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</si>
  <si>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</si>
  <si>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</si>
  <si>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</si>
  <si>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</si>
  <si>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</si>
  <si>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</si>
  <si>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</si>
  <si>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</si>
  <si>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</si>
  <si>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</si>
  <si>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</si>
  <si>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</si>
  <si>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</si>
  <si>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</si>
  <si>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</si>
  <si>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</si>
  <si>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</si>
  <si>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</si>
  <si>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</si>
  <si>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</si>
  <si>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</si>
  <si>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</si>
  <si>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</si>
  <si>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</si>
  <si>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</si>
  <si>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</si>
  <si>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</si>
  <si>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</si>
  <si>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</si>
  <si>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</si>
  <si>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</si>
  <si>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</si>
  <si>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</si>
  <si>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</si>
  <si>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</si>
  <si>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</si>
  <si>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</si>
  <si>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</si>
  <si>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</si>
  <si>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</si>
  <si>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</si>
  <si>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</si>
  <si>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</si>
  <si>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</si>
  <si>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</si>
  <si>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</si>
  <si>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</si>
  <si>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</si>
  <si>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</si>
  <si>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</si>
  <si>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</si>
  <si>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</si>
  <si>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</si>
  <si>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</si>
  <si>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</si>
  <si>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</si>
  <si>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</si>
  <si>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</si>
  <si>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</si>
  <si>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</si>
  <si>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</si>
  <si>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</si>
  <si>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</si>
  <si>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</si>
  <si>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</si>
  <si>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</si>
  <si>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</si>
  <si>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</si>
  <si>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</si>
  <si>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</si>
  <si>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</si>
  <si>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</si>
  <si>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</si>
  <si>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</si>
  <si>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</si>
  <si>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</si>
  <si>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</si>
  <si>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</si>
  <si>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</si>
  <si>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</si>
  <si>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</si>
  <si>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</si>
  <si>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</si>
  <si>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</si>
  <si>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</si>
  <si>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</si>
  <si>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</si>
  <si>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</si>
  <si>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</si>
  <si>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</si>
  <si>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</si>
  <si>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</si>
  <si>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</si>
  <si>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</si>
  <si>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</si>
  <si>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</si>
  <si>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</si>
  <si>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</si>
  <si>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</si>
  <si>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</si>
  <si>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</si>
  <si>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</si>
  <si>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</si>
  <si>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</si>
  <si>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</si>
  <si>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</si>
  <si>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</si>
  <si>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</si>
  <si>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</si>
  <si>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</si>
  <si>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</si>
  <si>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</si>
  <si>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</si>
  <si>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</si>
  <si>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</si>
  <si>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</si>
  <si>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</si>
  <si>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</si>
  <si>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</si>
  <si>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</si>
  <si>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</si>
  <si>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</si>
  <si>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</si>
  <si>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</si>
  <si>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</si>
  <si>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</si>
  <si>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</si>
  <si>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</si>
  <si>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</si>
  <si>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</si>
  <si>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</si>
  <si>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</si>
  <si>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</si>
  <si>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</si>
  <si>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</si>
  <si>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</si>
  <si>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</si>
  <si>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</si>
  <si>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</si>
  <si>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</si>
  <si>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</si>
  <si>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</si>
  <si>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</si>
  <si>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</si>
  <si>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</si>
  <si>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</si>
  <si>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</si>
  <si>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</si>
  <si>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</si>
  <si>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</si>
  <si>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</si>
  <si>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</si>
  <si>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</si>
  <si>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</si>
  <si>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</si>
  <si>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</si>
  <si>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</si>
  <si>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</si>
  <si>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</si>
  <si>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</si>
  <si>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</si>
  <si>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</si>
  <si>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</si>
  <si>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</si>
  <si>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</si>
  <si>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</si>
  <si>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</si>
  <si>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</si>
  <si>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</si>
  <si>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</si>
  <si>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</si>
  <si>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</si>
  <si>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</si>
  <si>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</si>
  <si>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</si>
  <si>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</si>
  <si>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</si>
  <si>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</si>
  <si>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</si>
  <si>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</si>
  <si>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</si>
  <si>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</si>
  <si>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</si>
  <si>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</si>
  <si>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</si>
  <si>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</si>
  <si>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</si>
  <si>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</si>
  <si>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</si>
  <si>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</si>
  <si>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</si>
  <si>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</si>
  <si>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</si>
  <si>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</si>
  <si>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</si>
  <si>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</si>
  <si>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</si>
  <si>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</si>
  <si>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</si>
  <si>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</si>
  <si>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</si>
  <si>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</si>
  <si>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</si>
  <si>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</si>
  <si>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</si>
  <si>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</si>
  <si>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</si>
  <si>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</si>
  <si>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</si>
  <si>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</si>
  <si>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</si>
  <si>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</si>
  <si>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</si>
  <si>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</si>
  <si>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</si>
  <si>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</si>
  <si>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</si>
  <si>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</si>
  <si>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</si>
  <si>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</si>
  <si>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</si>
  <si>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</si>
  <si>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</si>
  <si>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</si>
  <si>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</si>
  <si>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</si>
  <si>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</si>
  <si>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</si>
  <si>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</si>
  <si>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</si>
  <si>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</si>
  <si>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</si>
  <si>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</si>
  <si>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</si>
  <si>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</si>
  <si>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</si>
  <si>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</si>
  <si>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</si>
  <si>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</si>
  <si>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</si>
  <si>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</si>
  <si>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</si>
  <si>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</si>
  <si>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</si>
  <si>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</si>
  <si>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</si>
  <si>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</si>
  <si>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</si>
  <si>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</si>
  <si>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</si>
  <si>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</si>
  <si>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</si>
  <si>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</si>
  <si>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</si>
  <si>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</si>
  <si>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</si>
  <si>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</si>
  <si>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</si>
  <si>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</si>
  <si>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</si>
  <si>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</si>
  <si>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</si>
  <si>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</si>
  <si>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</si>
  <si>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</si>
  <si>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</si>
  <si>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</si>
  <si>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</si>
  <si>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</si>
  <si>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</si>
  <si>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</si>
  <si>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</si>
  <si>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</si>
  <si>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</si>
  <si>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</si>
  <si>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</si>
  <si>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</si>
  <si>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</si>
  <si>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</si>
  <si>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</si>
  <si>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</si>
  <si>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</si>
  <si>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</si>
  <si>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</si>
  <si>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</si>
  <si>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</si>
  <si>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</si>
  <si>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</si>
  <si>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</si>
  <si>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</si>
  <si>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</si>
  <si>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</si>
  <si>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</si>
  <si>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</si>
  <si>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</si>
  <si>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</si>
  <si>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</si>
  <si>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</si>
  <si>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</si>
  <si>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</si>
  <si>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</si>
  <si>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</si>
  <si>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</si>
  <si>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</si>
  <si>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</si>
  <si>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</si>
  <si>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</si>
  <si>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</si>
  <si>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</si>
  <si>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</si>
  <si>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</si>
  <si>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</si>
  <si>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</si>
  <si>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</si>
  <si>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</si>
  <si>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</si>
  <si>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</si>
  <si>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</si>
  <si>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</si>
  <si>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</si>
  <si>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</si>
  <si>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</si>
  <si>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</si>
  <si>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</si>
  <si>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</si>
  <si>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</si>
  <si>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</si>
  <si>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</si>
  <si>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</si>
  <si>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</si>
  <si>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</si>
  <si>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</si>
  <si>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</si>
  <si>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</si>
  <si>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</si>
  <si>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</si>
  <si>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</si>
  <si>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</si>
  <si>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</si>
  <si>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</si>
  <si>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</si>
  <si>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</si>
  <si>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</si>
  <si>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</si>
  <si>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</si>
  <si>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</si>
  <si>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</si>
  <si>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</si>
  <si>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</si>
  <si>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</si>
  <si>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</si>
  <si>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</si>
  <si>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</si>
  <si>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</si>
  <si>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</si>
  <si>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</si>
  <si>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</si>
  <si>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</si>
  <si>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</si>
  <si>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</si>
  <si>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</si>
  <si>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</si>
  <si>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</si>
  <si>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</si>
  <si>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</si>
  <si>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</si>
  <si>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</si>
  <si>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</si>
  <si>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</si>
  <si>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</si>
  <si>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</si>
  <si>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</si>
  <si>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</si>
  <si>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</si>
  <si>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</si>
  <si>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</si>
  <si>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</si>
  <si>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</si>
  <si>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</si>
  <si>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</si>
  <si>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</si>
  <si>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</si>
  <si>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</si>
  <si>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</si>
  <si>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</si>
  <si>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</si>
  <si>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</si>
  <si>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</si>
  <si>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</si>
  <si>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</si>
  <si>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</si>
  <si>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</si>
  <si>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</si>
  <si>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</si>
  <si>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</si>
  <si>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</si>
  <si>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</si>
  <si>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</si>
  <si>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</si>
  <si>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</si>
  <si>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</si>
  <si>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</si>
  <si>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</si>
  <si>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</si>
  <si>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</si>
  <si>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</si>
  <si>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</si>
  <si>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</si>
  <si>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</si>
  <si>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</si>
  <si>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</si>
  <si>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</si>
  <si>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</si>
  <si>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</si>
  <si>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</si>
  <si>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</si>
  <si>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</si>
  <si>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</si>
  <si>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</si>
  <si>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</si>
  <si>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</si>
  <si>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</si>
  <si>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</si>
  <si>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</si>
  <si>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</si>
  <si>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</si>
  <si>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</si>
  <si>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</si>
  <si>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</si>
  <si>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</si>
  <si>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</si>
  <si>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</si>
  <si>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</si>
  <si>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</si>
  <si>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</si>
  <si>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</si>
  <si>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</si>
  <si>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</si>
  <si>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</si>
  <si>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</si>
  <si>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</si>
  <si>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</si>
  <si>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</si>
  <si>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</si>
  <si>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</si>
  <si>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</si>
  <si>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</si>
  <si>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</si>
  <si>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</si>
  <si>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</si>
  <si>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</si>
  <si>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</si>
  <si>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</si>
  <si>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</si>
  <si>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</si>
  <si>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</si>
  <si>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</si>
  <si>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</si>
  <si>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</si>
  <si>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</si>
  <si>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</si>
  <si>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</si>
  <si>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</si>
  <si>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</si>
  <si>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</si>
  <si>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</si>
  <si>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</si>
  <si>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</si>
  <si>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</si>
  <si>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</si>
  <si>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</si>
  <si>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</si>
  <si>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</si>
  <si>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</si>
  <si>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</si>
  <si>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</si>
  <si>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</si>
  <si>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</si>
  <si>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</si>
  <si>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</si>
  <si>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</si>
  <si>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</si>
  <si>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</si>
  <si>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</si>
  <si>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</si>
  <si>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</si>
  <si>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</si>
  <si>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</si>
  <si>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</si>
  <si>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</si>
  <si>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</si>
  <si>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</si>
  <si>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</si>
  <si>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</si>
  <si>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</si>
  <si>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</si>
  <si>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</si>
  <si>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</si>
  <si>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</si>
  <si>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</si>
  <si>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</si>
  <si>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</si>
  <si>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</si>
  <si>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</si>
  <si>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</si>
  <si>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</si>
  <si>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</si>
  <si>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</si>
  <si>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</si>
  <si>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</si>
  <si>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</si>
  <si>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</si>
  <si>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</si>
  <si>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</si>
  <si>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</si>
  <si>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</si>
  <si>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</si>
  <si>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</si>
  <si>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</si>
  <si>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</si>
  <si>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</si>
  <si>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</si>
  <si>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</si>
  <si>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</si>
  <si>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</si>
  <si>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</si>
  <si>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</si>
  <si>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</si>
  <si>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</si>
  <si>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</si>
  <si>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</si>
  <si>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</si>
  <si>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</si>
  <si>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</si>
  <si>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</si>
  <si>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</si>
  <si>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</si>
  <si>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</si>
  <si>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</si>
  <si>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</si>
  <si>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</si>
  <si>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</si>
  <si>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</si>
  <si>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</si>
  <si>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</si>
  <si>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</si>
  <si>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</si>
  <si>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</si>
  <si>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</si>
  <si>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</si>
  <si>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</si>
  <si>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</si>
  <si>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</si>
  <si>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</si>
  <si>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</si>
  <si>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</si>
  <si>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</si>
  <si>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</si>
  <si>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</si>
  <si>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</si>
  <si>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</si>
  <si>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</si>
  <si>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</si>
  <si>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</si>
  <si>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</si>
  <si>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</si>
  <si>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</si>
  <si>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</si>
  <si>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</si>
  <si>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</si>
  <si>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</si>
  <si>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</si>
  <si>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</si>
  <si>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</si>
  <si>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</si>
  <si>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</si>
  <si>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</si>
  <si>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</si>
  <si>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</si>
  <si>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</si>
  <si>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</si>
  <si>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</si>
  <si>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</si>
  <si>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</si>
  <si>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</si>
  <si>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</si>
  <si>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</si>
  <si>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</si>
  <si>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</si>
  <si>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</si>
  <si>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</si>
  <si>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</si>
  <si>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</si>
  <si>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</si>
  <si>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</si>
  <si>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</si>
  <si>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</si>
  <si>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</si>
  <si>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</si>
  <si>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</si>
  <si>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</si>
  <si>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</si>
  <si>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</si>
  <si>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</si>
  <si>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</si>
  <si>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</si>
  <si>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</si>
  <si>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</si>
  <si>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</si>
  <si>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</si>
  <si>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</si>
  <si>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</si>
  <si>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</si>
  <si>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</si>
  <si>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</si>
  <si>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</si>
  <si>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</si>
  <si>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</si>
  <si>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</si>
  <si>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</si>
  <si>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</si>
  <si>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</si>
  <si>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</si>
  <si>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</si>
  <si>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</si>
  <si>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</si>
  <si>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</si>
  <si>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</si>
  <si>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</si>
  <si>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</si>
  <si>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</si>
  <si>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</si>
  <si>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</si>
  <si>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</si>
  <si>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</si>
  <si>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</si>
  <si>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</si>
  <si>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</si>
  <si>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</si>
  <si>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</si>
  <si>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</si>
  <si>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</si>
  <si>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</si>
  <si>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</si>
  <si>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</si>
  <si>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</si>
  <si>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</si>
  <si>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</si>
  <si>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</si>
  <si>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</si>
  <si>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</si>
  <si>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</si>
  <si>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</si>
  <si>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</si>
  <si>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</si>
  <si>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</si>
  <si>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</si>
  <si>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</si>
  <si>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</si>
  <si>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</si>
  <si>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</si>
  <si>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</si>
  <si>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</si>
  <si>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</si>
  <si>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</si>
  <si>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</si>
  <si>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</si>
  <si>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</si>
  <si>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</si>
  <si>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</si>
  <si>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</si>
  <si>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</si>
  <si>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</si>
  <si>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</si>
  <si>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</si>
  <si>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</si>
  <si>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</si>
  <si>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</si>
  <si>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</si>
  <si>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</si>
  <si>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</si>
  <si>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</si>
  <si>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</si>
  <si>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</si>
  <si>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</si>
  <si>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</si>
  <si>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</si>
  <si>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</si>
  <si>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</si>
  <si>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</si>
  <si>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</si>
  <si>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</si>
  <si>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</si>
  <si>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</si>
  <si>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</si>
  <si>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</si>
  <si>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</si>
  <si>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</si>
  <si>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</si>
  <si>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</si>
  <si>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</si>
  <si>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</si>
  <si>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</si>
  <si>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</si>
  <si>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</si>
  <si>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</si>
  <si>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</si>
  <si>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</si>
  <si>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</si>
  <si>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</si>
  <si>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</si>
  <si>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</si>
  <si>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</si>
  <si>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</si>
  <si>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</si>
  <si>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</si>
  <si>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</si>
  <si>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</si>
  <si>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</si>
  <si>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</si>
  <si>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</si>
  <si>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</si>
  <si>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</si>
  <si>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</si>
  <si>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</si>
  <si>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</si>
  <si>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</si>
  <si>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</si>
  <si>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</si>
  <si>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</si>
  <si>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</si>
  <si>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</si>
  <si>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</si>
  <si>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</si>
  <si>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</si>
  <si>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</si>
  <si>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</si>
  <si>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</si>
  <si>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</si>
  <si>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</si>
  <si>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</si>
  <si>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</si>
  <si>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</si>
  <si>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</si>
  <si>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</si>
  <si>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</si>
  <si>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</si>
  <si>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</si>
  <si>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</si>
  <si>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</si>
  <si>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</si>
  <si>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</si>
  <si>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</si>
  <si>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</si>
  <si>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</si>
  <si>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</si>
  <si>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</si>
  <si>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</si>
  <si>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</si>
  <si>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</si>
  <si>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</si>
  <si>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</si>
  <si>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</si>
  <si>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</si>
  <si>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</si>
  <si>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</si>
  <si>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</si>
  <si>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</si>
  <si>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</si>
  <si>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</si>
  <si>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</si>
  <si>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</si>
  <si>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</si>
  <si>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</si>
  <si>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</si>
  <si>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</si>
  <si>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</si>
  <si>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</si>
  <si>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</si>
  <si>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</si>
  <si>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</si>
  <si>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</si>
  <si>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</si>
  <si>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</si>
  <si>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</si>
  <si>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</si>
  <si>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</si>
  <si>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</si>
  <si>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</si>
  <si>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</si>
  <si>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</si>
  <si>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</si>
  <si>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</si>
  <si>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</si>
  <si>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</si>
  <si>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</si>
  <si>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</si>
  <si>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</si>
  <si>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</si>
  <si>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</si>
  <si>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</si>
  <si>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</si>
  <si>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</si>
  <si>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</si>
  <si>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</si>
  <si>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</si>
  <si>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</si>
  <si>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</si>
  <si>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</si>
  <si>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</si>
  <si>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</si>
  <si>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</si>
  <si>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</si>
  <si>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</si>
  <si>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</si>
  <si>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</si>
  <si>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</si>
  <si>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</si>
  <si>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</si>
  <si>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</si>
  <si>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</si>
  <si>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</si>
  <si>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</si>
  <si>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</si>
  <si>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</si>
  <si>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</si>
  <si>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</si>
  <si>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</si>
  <si>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</si>
  <si>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</si>
  <si>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</si>
  <si>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</si>
  <si>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</si>
  <si>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</si>
  <si>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</si>
  <si>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</si>
  <si>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</si>
  <si>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</si>
  <si>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</si>
  <si>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</si>
  <si>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</si>
  <si>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</si>
  <si>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</si>
  <si>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</si>
  <si>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</si>
  <si>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</si>
  <si>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</si>
  <si>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</si>
  <si>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</si>
  <si>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</si>
  <si>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</si>
  <si>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</si>
  <si>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</si>
  <si>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</si>
  <si>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</si>
  <si>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</si>
  <si>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</si>
  <si>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</si>
  <si>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</si>
  <si>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</si>
  <si>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</si>
  <si>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</si>
  <si>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</si>
  <si>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</si>
  <si>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</si>
  <si>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</si>
  <si>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</si>
  <si>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</si>
  <si>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</si>
  <si>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</si>
  <si>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</si>
  <si>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</si>
  <si>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</si>
  <si>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</si>
  <si>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</si>
  <si>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</si>
  <si>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</si>
  <si>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</si>
  <si>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</si>
  <si>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</si>
  <si>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</si>
  <si>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</si>
  <si>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</si>
  <si>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</si>
  <si>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</si>
  <si>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</si>
  <si>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</si>
  <si>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</si>
  <si>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</si>
  <si>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</si>
  <si>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</si>
  <si>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</si>
  <si>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</si>
  <si>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</si>
  <si>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</si>
  <si>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</si>
  <si>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</si>
  <si>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</si>
  <si>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</si>
  <si>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</si>
  <si>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</si>
  <si>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</si>
  <si>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</si>
  <si>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</si>
  <si>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</si>
  <si>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</si>
  <si>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</si>
  <si>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</si>
  <si>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</si>
  <si>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</si>
  <si>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</si>
  <si>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</si>
  <si>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</si>
  <si>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</si>
  <si>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</si>
  <si>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</si>
  <si>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</si>
  <si>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</si>
  <si>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</si>
  <si>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</si>
  <si>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</si>
  <si>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</si>
  <si>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</si>
  <si>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</si>
  <si>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</si>
  <si>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</si>
  <si>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</si>
  <si>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</si>
  <si>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</si>
  <si>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</si>
  <si>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</si>
  <si>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</si>
  <si>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</si>
  <si>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</si>
  <si>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</si>
  <si>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</si>
  <si>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</si>
  <si>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</si>
  <si>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</si>
  <si>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</si>
  <si>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</si>
  <si>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</si>
  <si>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</si>
  <si>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</si>
  <si>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</si>
  <si>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</si>
  <si>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</si>
  <si>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</si>
  <si>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</si>
  <si>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</si>
  <si>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</si>
  <si>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</si>
  <si>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</si>
  <si>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</si>
  <si>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</si>
  <si>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</si>
  <si>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</si>
  <si>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</si>
  <si>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</si>
  <si>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</si>
  <si>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</si>
  <si>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</si>
  <si>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</si>
  <si>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</si>
  <si>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</si>
  <si>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</si>
  <si>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</si>
  <si>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</si>
  <si>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</si>
  <si>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</si>
  <si>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</si>
  <si>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</si>
  <si>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</si>
  <si>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</si>
  <si>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</si>
  <si>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</si>
  <si>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</si>
  <si>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</si>
  <si>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</si>
  <si>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</si>
  <si>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</si>
  <si>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</si>
  <si>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</si>
  <si>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</si>
  <si>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</si>
  <si>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</si>
  <si>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</si>
  <si>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</si>
  <si>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</si>
  <si>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</si>
  <si>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</si>
  <si>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</si>
  <si>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</si>
  <si>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</si>
  <si>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</si>
  <si>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</si>
  <si>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</si>
  <si>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</si>
  <si>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</si>
  <si>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</si>
  <si>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</si>
  <si>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</si>
  <si>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</si>
  <si>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</si>
  <si>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</si>
  <si>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</si>
  <si>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</si>
  <si>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</si>
  <si>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</si>
  <si>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</si>
  <si>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</si>
  <si>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</si>
  <si>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</si>
  <si>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</si>
  <si>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</si>
  <si>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</si>
  <si>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</si>
  <si>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</si>
  <si>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</si>
  <si>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</si>
  <si>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</si>
  <si>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</si>
  <si>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</si>
  <si>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</si>
  <si>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</si>
  <si>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</si>
  <si>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</si>
  <si>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</si>
  <si>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</si>
  <si>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</si>
  <si>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</si>
  <si>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</si>
  <si>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</si>
  <si>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</si>
  <si>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</si>
  <si>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</si>
  <si>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</si>
  <si>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</si>
  <si>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</si>
  <si>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</si>
  <si>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</si>
  <si>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</si>
  <si>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</si>
  <si>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</si>
  <si>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</si>
  <si>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</si>
  <si>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</si>
  <si>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</si>
  <si>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</si>
  <si>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</si>
  <si>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</si>
  <si>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</si>
  <si>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</si>
  <si>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</si>
  <si>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</si>
  <si>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</si>
  <si>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</si>
  <si>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</si>
  <si>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</si>
  <si>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</si>
  <si>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</si>
  <si>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</si>
  <si>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</si>
  <si>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</si>
  <si>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</si>
  <si>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</si>
  <si>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</si>
  <si>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</si>
  <si>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</si>
  <si>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</si>
  <si>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</si>
  <si>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</si>
  <si>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</si>
  <si>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</si>
  <si>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</si>
  <si>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</si>
  <si>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</si>
  <si>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</si>
  <si>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</si>
  <si>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</si>
  <si>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</si>
  <si>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</si>
  <si>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</si>
  <si>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</si>
  <si>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</si>
  <si>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</si>
  <si>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</si>
  <si>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</si>
  <si>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</si>
  <si>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</si>
  <si>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</si>
  <si>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</si>
  <si>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</si>
  <si>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</si>
  <si>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</si>
  <si>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</si>
  <si>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</si>
  <si>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</si>
  <si>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</si>
  <si>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</si>
  <si>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</si>
  <si>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</si>
  <si>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</si>
  <si>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</si>
  <si>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</si>
  <si>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</si>
  <si>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</si>
  <si>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</si>
  <si>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</si>
  <si>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</si>
  <si>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</si>
  <si>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</si>
  <si>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</si>
  <si>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</si>
  <si>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</si>
  <si>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</si>
  <si>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</si>
  <si>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</si>
  <si>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</si>
  <si>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</si>
  <si>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</si>
  <si>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</si>
  <si>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</si>
  <si>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</si>
  <si>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</si>
  <si>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</si>
  <si>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</si>
  <si>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</si>
  <si>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</si>
  <si>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</si>
  <si>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</si>
  <si>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</si>
  <si>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</si>
  <si>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</si>
  <si>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</si>
  <si>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</si>
  <si>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</si>
  <si>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</si>
  <si>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</si>
  <si>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</si>
  <si>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</si>
  <si>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</si>
  <si>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</si>
  <si>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</si>
  <si>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</si>
  <si>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</si>
  <si>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</si>
  <si>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</si>
  <si>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</si>
  <si>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</si>
  <si>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</si>
  <si>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</si>
  <si>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</si>
  <si>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</si>
  <si>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</si>
  <si>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</si>
  <si>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</si>
  <si>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</si>
  <si>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</si>
  <si>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</si>
  <si>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</si>
  <si>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</si>
  <si>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</si>
  <si>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</si>
  <si>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</si>
  <si>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</si>
  <si>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</si>
  <si>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</si>
  <si>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</si>
  <si>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</si>
  <si>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</si>
  <si>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</si>
  <si>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</si>
  <si>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</si>
  <si>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</si>
  <si>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</si>
  <si>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</si>
  <si>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</si>
  <si>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</si>
  <si>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</si>
  <si>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</si>
  <si>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</si>
  <si>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</si>
  <si>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</si>
  <si>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</si>
  <si>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</si>
  <si>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</si>
  <si>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</si>
  <si>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</si>
  <si>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</si>
  <si>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</si>
  <si>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</si>
  <si>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</si>
  <si>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</si>
  <si>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</si>
  <si>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</si>
  <si>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</si>
  <si>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</si>
  <si>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</si>
  <si>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</si>
  <si>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</si>
  <si>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</si>
  <si>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</si>
  <si>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</si>
  <si>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</si>
  <si>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</si>
  <si>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</si>
  <si>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</si>
  <si>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</si>
  <si>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</si>
  <si>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</si>
  <si>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</si>
  <si>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</si>
  <si>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</si>
  <si>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</si>
  <si>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</si>
  <si>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</si>
  <si>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</si>
  <si>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</si>
  <si>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</si>
  <si>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</si>
  <si>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</si>
  <si>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</si>
  <si>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</si>
  <si>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</si>
  <si>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</si>
  <si>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</si>
  <si>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</si>
  <si>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</si>
  <si>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</si>
  <si>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</si>
  <si>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</si>
  <si>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</si>
  <si>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</si>
  <si>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</si>
  <si>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</si>
  <si>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</si>
  <si>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</si>
  <si>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</si>
  <si>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</si>
  <si>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</si>
  <si>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</si>
  <si>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</si>
  <si>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</si>
  <si>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</si>
  <si>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</si>
  <si>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</si>
  <si>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</si>
  <si>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</si>
  <si>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</si>
  <si>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</si>
  <si>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</si>
  <si>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</si>
  <si>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</si>
  <si>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</si>
  <si>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</si>
  <si>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</si>
  <si>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</si>
  <si>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</si>
  <si>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</si>
  <si>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</si>
  <si>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</si>
  <si>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</si>
  <si>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</si>
  <si>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</si>
  <si>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</si>
  <si>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</si>
  <si>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</si>
  <si>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</si>
  <si>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</si>
  <si>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</si>
  <si>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</si>
  <si>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</si>
  <si>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</si>
  <si>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</si>
  <si>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</si>
  <si>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</si>
  <si>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</si>
  <si>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</si>
  <si>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</si>
  <si>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</si>
  <si>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</si>
  <si>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</si>
  <si>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</si>
  <si>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</si>
  <si>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</si>
  <si>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</si>
  <si>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</si>
  <si>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</si>
  <si>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</si>
  <si>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</si>
  <si>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</si>
  <si>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</si>
  <si>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</si>
  <si>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</si>
  <si>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</si>
  <si>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</si>
  <si>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</si>
  <si>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</si>
  <si>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</si>
  <si>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</si>
  <si>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</si>
  <si>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</si>
  <si>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</si>
  <si>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</si>
  <si>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</si>
  <si>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</si>
  <si>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</si>
  <si>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</si>
  <si>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</si>
  <si>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</si>
  <si>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</si>
  <si>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</si>
  <si>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</si>
  <si>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</si>
  <si>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</si>
  <si>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</si>
  <si>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</si>
  <si>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</si>
  <si>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</si>
  <si>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</si>
  <si>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</si>
  <si>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</si>
  <si>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</si>
  <si>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</si>
  <si>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</si>
  <si>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</si>
  <si>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</si>
  <si>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</si>
  <si>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</si>
  <si>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</si>
  <si>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</si>
  <si>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</si>
  <si>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</si>
  <si>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</si>
  <si>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</si>
  <si>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</si>
  <si>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</si>
  <si>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</si>
  <si>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</si>
  <si>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</si>
  <si>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</si>
  <si>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</si>
  <si>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</si>
  <si>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</si>
  <si>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</si>
  <si>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</si>
  <si>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</si>
  <si>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</si>
  <si>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</si>
  <si>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</si>
  <si>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</si>
  <si>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</si>
  <si>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</si>
  <si>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</si>
  <si>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</si>
  <si>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</si>
  <si>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</si>
  <si>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</si>
  <si>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</si>
  <si>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</si>
  <si>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</si>
  <si>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</si>
  <si>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</si>
  <si>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</si>
  <si>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</si>
  <si>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</si>
  <si>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</si>
  <si>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</si>
  <si>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</si>
  <si>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</si>
  <si>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</si>
  <si>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</si>
  <si>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</si>
  <si>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</si>
  <si>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</si>
  <si>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</si>
  <si>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</si>
  <si>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</si>
  <si>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</si>
  <si>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</si>
  <si>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</si>
  <si>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</si>
  <si>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</si>
  <si>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</si>
  <si>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</si>
  <si>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</si>
  <si>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</si>
  <si>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</si>
  <si>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</si>
  <si>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</si>
  <si>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</si>
  <si>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</si>
  <si>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</si>
  <si>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</si>
  <si>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</si>
  <si>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</si>
  <si>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</si>
  <si>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</si>
  <si>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</si>
  <si>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</si>
  <si>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</si>
  <si>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</si>
  <si>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</si>
  <si>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</si>
  <si>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</si>
  <si>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</si>
  <si>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</si>
  <si>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</si>
  <si>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</si>
  <si>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</si>
  <si>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</si>
  <si>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</si>
  <si>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</si>
  <si>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</si>
  <si>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</si>
  <si>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</si>
  <si>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</si>
  <si>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</si>
  <si>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</si>
  <si>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</si>
  <si>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</si>
  <si>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</si>
  <si>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</si>
  <si>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</si>
  <si>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</si>
  <si>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</si>
  <si>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</si>
  <si>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</si>
  <si>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</si>
  <si>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</si>
  <si>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</si>
  <si>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</si>
  <si>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</si>
  <si>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</si>
  <si>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</si>
  <si>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</si>
  <si>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</si>
  <si>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</si>
  <si>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</si>
  <si>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</si>
  <si>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</si>
  <si>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</si>
  <si>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</si>
  <si>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</si>
  <si>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</si>
  <si>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</si>
  <si>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</si>
  <si>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</si>
  <si>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</si>
  <si>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</si>
  <si>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</si>
  <si>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</si>
  <si>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</si>
  <si>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</si>
  <si>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</si>
  <si>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</si>
  <si>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</si>
  <si>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</si>
  <si>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</si>
  <si>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</si>
  <si>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</si>
  <si>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</si>
  <si>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</si>
  <si>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</si>
  <si>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</si>
  <si>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</si>
  <si>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</si>
  <si>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</si>
  <si>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</si>
  <si>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</si>
  <si>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</si>
  <si>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</si>
  <si>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</si>
  <si>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</si>
  <si>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</si>
  <si>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</si>
  <si>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</si>
  <si>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</si>
  <si>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</si>
  <si>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</si>
  <si>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</si>
  <si>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</si>
  <si>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</si>
  <si>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</si>
  <si>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</si>
  <si>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</si>
  <si>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</si>
  <si>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</si>
  <si>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</si>
  <si>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</si>
  <si>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</si>
  <si>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</si>
  <si>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</si>
  <si>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</si>
  <si>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</si>
  <si>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</si>
  <si>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</si>
  <si>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</si>
  <si>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</si>
  <si>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</si>
  <si>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</si>
  <si>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</si>
  <si>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</si>
  <si>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</si>
  <si>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</si>
  <si>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</si>
  <si>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</si>
  <si>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</si>
  <si>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</si>
  <si>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</si>
  <si>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</si>
  <si>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</si>
  <si>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</si>
  <si>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</si>
  <si>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</si>
  <si>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</si>
  <si>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</si>
  <si>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</si>
  <si>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</si>
  <si>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</si>
  <si>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</si>
  <si>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</si>
  <si>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</si>
  <si>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</si>
  <si>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</si>
  <si>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</si>
  <si>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</si>
  <si>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</si>
  <si>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</si>
  <si>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</si>
  <si>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</si>
  <si>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</si>
  <si>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</si>
  <si>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</si>
  <si>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</si>
  <si>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</si>
  <si>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</si>
  <si>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</si>
  <si>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</si>
  <si>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</si>
  <si>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</si>
  <si>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</si>
  <si>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</si>
  <si>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</si>
  <si>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</si>
  <si>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</si>
  <si>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</si>
  <si>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</si>
  <si>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</si>
  <si>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</si>
  <si>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</si>
  <si>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</si>
  <si>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</si>
  <si>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</si>
  <si>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</si>
  <si>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</si>
  <si>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</si>
  <si>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</si>
  <si>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</si>
  <si>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</si>
  <si>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</si>
  <si>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</si>
  <si>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</si>
  <si>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</si>
  <si>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</si>
  <si>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</si>
  <si>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</si>
  <si>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</si>
  <si>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</si>
  <si>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</si>
  <si>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</si>
  <si>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</si>
  <si>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</si>
  <si>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</si>
  <si>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</si>
  <si>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</si>
  <si>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</si>
  <si>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</si>
  <si>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</si>
  <si>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</si>
  <si>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</si>
  <si>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</si>
  <si>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</si>
  <si>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</si>
  <si>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</si>
  <si>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</si>
  <si>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</si>
  <si>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</si>
  <si>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</si>
  <si>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</si>
  <si>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</si>
  <si>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</si>
  <si>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</si>
  <si>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</si>
  <si>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</si>
  <si>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</si>
  <si>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</si>
  <si>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</si>
  <si>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</si>
  <si>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</si>
  <si>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</si>
  <si>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</si>
  <si>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</si>
  <si>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</si>
  <si>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</si>
  <si>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</si>
  <si>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</si>
  <si>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</si>
  <si>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</si>
  <si>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</si>
  <si>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</si>
  <si>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</si>
  <si>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</si>
  <si>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</si>
  <si>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</si>
  <si>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</si>
  <si>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</si>
  <si>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</si>
  <si>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</si>
  <si>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</si>
  <si>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</si>
  <si>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</si>
  <si>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</si>
  <si>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</si>
  <si>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</si>
  <si>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</si>
  <si>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</si>
  <si>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</si>
  <si>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</si>
  <si>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</si>
  <si>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</si>
  <si>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</si>
  <si>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</si>
  <si>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</si>
  <si>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</si>
  <si>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</si>
  <si>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</si>
  <si>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</si>
  <si>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</si>
  <si>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</si>
  <si>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</si>
  <si>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</si>
  <si>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</si>
  <si>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</si>
  <si>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</si>
  <si>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</si>
  <si>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</si>
  <si>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</si>
  <si>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</si>
  <si>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</si>
  <si>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</si>
  <si>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</si>
  <si>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</si>
  <si>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</si>
  <si>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</si>
  <si>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</si>
  <si>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</si>
  <si>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</si>
  <si>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</si>
  <si>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</si>
  <si>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</si>
  <si>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</si>
  <si>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</si>
  <si>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</si>
  <si>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</si>
  <si>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</si>
  <si>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</si>
  <si>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</si>
  <si>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</si>
  <si>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</si>
  <si>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</si>
  <si>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</si>
  <si>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</si>
  <si>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</si>
  <si>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</si>
  <si>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</si>
  <si>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</si>
  <si>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</si>
  <si>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</si>
  <si>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</si>
  <si>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</si>
  <si>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</si>
  <si>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</si>
  <si>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</si>
  <si>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</si>
  <si>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</si>
  <si>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</si>
  <si>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</si>
  <si>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</si>
  <si>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</si>
  <si>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</si>
  <si>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</si>
  <si>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</si>
  <si>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</si>
  <si>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</si>
  <si>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</si>
  <si>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</si>
  <si>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</si>
  <si>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</si>
  <si>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</si>
  <si>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</si>
  <si>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</si>
  <si>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</si>
  <si>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</si>
  <si>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</si>
  <si>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</si>
  <si>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</si>
  <si>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</si>
  <si>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</si>
  <si>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</si>
  <si>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</si>
  <si>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</si>
  <si>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</si>
  <si>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</si>
  <si>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</si>
  <si>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</si>
  <si>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</si>
  <si>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</si>
  <si>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</si>
  <si>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</si>
  <si>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</si>
  <si>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</si>
  <si>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</si>
  <si>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</si>
  <si>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</si>
  <si>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</si>
  <si>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</si>
  <si>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</si>
  <si>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</si>
  <si>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</si>
  <si>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</si>
  <si>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</si>
  <si>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</si>
  <si>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</si>
  <si>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</si>
  <si>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</si>
  <si>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</si>
  <si>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</si>
  <si>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</si>
  <si>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</si>
  <si>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</si>
  <si>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</si>
  <si>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</si>
  <si>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</si>
  <si>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</si>
  <si>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</si>
  <si>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</si>
  <si>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</si>
  <si>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</si>
  <si>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</si>
  <si>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</si>
  <si>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</si>
  <si>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</si>
  <si>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</si>
  <si>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</si>
  <si>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</si>
  <si>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</si>
  <si>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</si>
  <si>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</si>
  <si>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</si>
  <si>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</si>
  <si>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</si>
  <si>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</si>
  <si>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</si>
  <si>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</si>
  <si>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</si>
  <si>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</si>
  <si>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</si>
  <si>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</si>
  <si>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</si>
  <si>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</si>
  <si>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</si>
  <si>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</si>
  <si>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</si>
  <si>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</si>
  <si>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</si>
  <si>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</si>
  <si>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</si>
  <si>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</si>
  <si>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</si>
  <si>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</si>
  <si>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</si>
  <si>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</si>
  <si>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</si>
  <si>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</si>
  <si>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</si>
  <si>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</si>
  <si>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</si>
  <si>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</si>
  <si>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</si>
  <si>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</si>
  <si>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</si>
  <si>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</si>
  <si>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</si>
  <si>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</si>
  <si>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</si>
  <si>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</si>
  <si>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</si>
  <si>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</si>
  <si>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</si>
  <si>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</si>
  <si>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</si>
  <si>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</si>
  <si>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</si>
  <si>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</si>
  <si>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</si>
  <si>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</si>
  <si>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</si>
  <si>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</si>
  <si>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</si>
  <si>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</si>
  <si>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</si>
  <si>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</si>
  <si>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</si>
  <si>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</si>
  <si>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</si>
  <si>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</si>
  <si>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</si>
  <si>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</si>
  <si>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</si>
  <si>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</si>
  <si>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</si>
  <si>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</si>
  <si>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</si>
  <si>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</si>
  <si>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</si>
  <si>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</si>
  <si>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</si>
  <si>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</si>
  <si>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</si>
  <si>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</si>
  <si>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</si>
  <si>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</si>
  <si>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</si>
  <si>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</si>
  <si>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</si>
  <si>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</si>
  <si>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</si>
  <si>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</si>
  <si>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</si>
  <si>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</si>
  <si>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</si>
  <si>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</si>
  <si>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</si>
  <si>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</si>
  <si>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</si>
  <si>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</si>
  <si>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</si>
  <si>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</si>
  <si>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</si>
  <si>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</si>
  <si>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</si>
  <si>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</si>
  <si>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</si>
  <si>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</si>
  <si>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</si>
  <si>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</si>
  <si>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</si>
  <si>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</si>
  <si>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</si>
  <si>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</si>
  <si>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</si>
  <si>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</si>
  <si>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</si>
  <si>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</si>
  <si>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</si>
  <si>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</si>
  <si>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</si>
  <si>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</si>
  <si>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</si>
  <si>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</si>
  <si>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</si>
  <si>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</si>
  <si>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</si>
  <si>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</si>
  <si>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</si>
  <si>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</si>
  <si>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</si>
  <si>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</si>
  <si>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</si>
  <si>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</si>
  <si>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</si>
  <si>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</si>
  <si>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</si>
  <si>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</si>
  <si>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</si>
  <si>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</si>
  <si>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</si>
  <si>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</si>
  <si>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</si>
  <si>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</si>
  <si>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</si>
  <si>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</si>
  <si>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</si>
  <si>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</si>
  <si>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</si>
  <si>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</si>
  <si>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</si>
  <si>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</si>
  <si>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</si>
  <si>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</si>
  <si>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</si>
  <si>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</si>
  <si>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</si>
  <si>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</si>
  <si>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</si>
  <si>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</si>
  <si>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</si>
  <si>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</si>
  <si>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</si>
  <si>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</si>
  <si>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</si>
  <si>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</si>
  <si>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</si>
  <si>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</si>
  <si>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</si>
  <si>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</si>
  <si>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</si>
  <si>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</si>
  <si>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</si>
  <si>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</si>
  <si>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</si>
  <si>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</si>
  <si>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</si>
  <si>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</si>
  <si>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</si>
  <si>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</si>
  <si>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</si>
  <si>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</si>
  <si>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</si>
  <si>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</si>
  <si>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</si>
  <si>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</si>
  <si>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</si>
  <si>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</si>
  <si>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</si>
  <si>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</si>
  <si>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</si>
  <si>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</si>
  <si>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</si>
  <si>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</si>
  <si>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</si>
  <si>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</si>
  <si>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</si>
  <si>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</si>
  <si>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</si>
  <si>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</si>
  <si>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</si>
  <si>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</si>
  <si>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</si>
  <si>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</si>
  <si>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</si>
  <si>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</si>
  <si>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</si>
  <si>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</si>
  <si>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</si>
  <si>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</si>
  <si>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</si>
  <si>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</si>
  <si>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</si>
  <si>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</si>
  <si>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</si>
  <si>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</si>
  <si>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</si>
  <si>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</si>
  <si>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</si>
  <si>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</si>
  <si>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</si>
  <si>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</si>
  <si>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</si>
  <si>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</si>
  <si>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</si>
  <si>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</si>
  <si>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</si>
  <si>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</si>
  <si>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</si>
  <si>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</si>
  <si>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</si>
  <si>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</si>
  <si>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</si>
  <si>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</si>
  <si>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</si>
  <si>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</si>
  <si>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</si>
  <si>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</si>
  <si>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</si>
  <si>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</si>
  <si>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</si>
  <si>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</si>
  <si>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</si>
  <si>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</si>
  <si>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</si>
  <si>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</si>
  <si>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</si>
  <si>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</si>
  <si>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</si>
  <si>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</si>
  <si>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</si>
  <si>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</si>
  <si>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</si>
  <si>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</si>
  <si>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</si>
  <si>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</si>
  <si>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</si>
  <si>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</si>
  <si>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</si>
  <si>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</si>
  <si>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</si>
  <si>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</si>
  <si>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</si>
  <si>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</si>
  <si>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</si>
  <si>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</si>
  <si>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</si>
  <si>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</si>
  <si>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</si>
  <si>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</si>
  <si>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</si>
  <si>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</si>
  <si>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</si>
  <si>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</si>
  <si>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</si>
  <si>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</si>
  <si>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</si>
  <si>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</si>
  <si>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</si>
  <si>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</si>
  <si>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</si>
  <si>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</si>
  <si>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</si>
  <si>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</si>
  <si>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</si>
  <si>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</si>
  <si>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</si>
  <si>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</si>
  <si>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</si>
  <si>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</si>
  <si>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</si>
  <si>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</si>
  <si>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</si>
  <si>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</si>
  <si>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</si>
  <si>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</si>
  <si>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</si>
  <si>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</si>
  <si>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</si>
  <si>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</si>
  <si>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</si>
  <si>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</si>
  <si>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</si>
  <si>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</si>
  <si>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</si>
  <si>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</si>
  <si>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</si>
  <si>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</si>
  <si>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</si>
  <si>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</si>
  <si>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</si>
  <si>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</si>
  <si>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</si>
  <si>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</si>
  <si>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</si>
  <si>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</si>
  <si>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</si>
  <si>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</si>
  <si>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</si>
  <si>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</si>
  <si>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</si>
  <si>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</si>
  <si>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</si>
  <si>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</si>
  <si>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</si>
  <si>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</si>
  <si>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</si>
  <si>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</si>
  <si>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</si>
  <si>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</si>
  <si>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</si>
  <si>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</si>
  <si>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</si>
  <si>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</si>
  <si>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</si>
  <si>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</si>
  <si>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</si>
  <si>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</si>
  <si>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</si>
  <si>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</si>
  <si>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</si>
  <si>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</si>
  <si>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</si>
  <si>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</si>
  <si>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</si>
  <si>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</si>
  <si>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</si>
  <si>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</si>
  <si>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</si>
  <si>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</si>
  <si>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</si>
  <si>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</si>
  <si>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</si>
  <si>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</si>
  <si>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</si>
  <si>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</si>
  <si>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</si>
  <si>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</si>
  <si>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</si>
  <si>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</si>
  <si>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</si>
  <si>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</si>
  <si>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</si>
  <si>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</si>
  <si>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</si>
  <si>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</si>
  <si>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</si>
  <si>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</si>
  <si>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</si>
  <si>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</si>
  <si>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</si>
  <si>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</si>
  <si>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</si>
  <si>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</si>
  <si>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</si>
  <si>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</si>
  <si>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</si>
  <si>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</si>
  <si>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</si>
  <si>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</si>
  <si>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</si>
  <si>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</si>
  <si>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</si>
  <si>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</si>
  <si>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</si>
  <si>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</si>
  <si>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</si>
  <si>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</si>
  <si>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</si>
  <si>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</si>
  <si>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</si>
  <si>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</si>
  <si>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</si>
  <si>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</si>
  <si>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</si>
  <si>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</si>
  <si>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</si>
  <si>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</si>
  <si>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</si>
  <si>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</si>
  <si>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</si>
  <si>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</si>
  <si>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</si>
  <si>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</si>
  <si>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</si>
  <si>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</si>
  <si>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</si>
  <si>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</si>
  <si>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</si>
  <si>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</si>
  <si>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</si>
  <si>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</si>
  <si>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</si>
  <si>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</si>
  <si>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</si>
  <si>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</si>
  <si>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</si>
  <si>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</si>
  <si>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</si>
  <si>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</si>
  <si>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</si>
  <si>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</si>
  <si>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</si>
  <si>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</si>
  <si>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</si>
  <si>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</si>
  <si>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</si>
  <si>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</si>
  <si>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</si>
  <si>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</si>
  <si>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</si>
  <si>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</si>
  <si>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</si>
  <si>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</si>
  <si>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</si>
  <si>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</si>
  <si>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</si>
  <si>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</si>
  <si>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</si>
  <si>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</si>
  <si>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</si>
  <si>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</si>
  <si>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</si>
  <si>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</si>
  <si>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</si>
  <si>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</si>
  <si>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</si>
  <si>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</si>
  <si>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</si>
  <si>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</si>
  <si>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</si>
  <si>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</si>
  <si>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</si>
  <si>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</si>
  <si>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</si>
  <si>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</si>
  <si>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</si>
  <si>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</si>
  <si>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</si>
  <si>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</si>
  <si>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</si>
  <si>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</si>
  <si>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</si>
  <si>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</si>
  <si>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</si>
  <si>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</si>
  <si>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</si>
  <si>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</si>
  <si>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</si>
  <si>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</si>
  <si>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</si>
  <si>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</si>
  <si>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</si>
  <si>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</si>
  <si>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</si>
  <si>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</si>
  <si>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</si>
  <si>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</si>
  <si>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</si>
  <si>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</si>
  <si>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</si>
  <si>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</si>
  <si>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</si>
  <si>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</si>
  <si>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</si>
  <si>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</si>
  <si>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</si>
  <si>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</si>
  <si>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</si>
  <si>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</si>
  <si>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</si>
  <si>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</si>
  <si>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</si>
  <si>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</si>
  <si>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</si>
  <si>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</si>
  <si>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</si>
  <si>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</si>
  <si>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</si>
  <si>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</si>
  <si>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</si>
  <si>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</si>
  <si>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</si>
  <si>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</si>
  <si>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</si>
  <si>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</si>
  <si>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</si>
  <si>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</si>
  <si>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</si>
  <si>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</si>
  <si>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</si>
  <si>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</si>
  <si>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</si>
  <si>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</si>
  <si>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</si>
  <si>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</si>
  <si>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</si>
  <si>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</si>
  <si>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</si>
  <si>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</si>
  <si>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</si>
  <si>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</si>
  <si>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</si>
  <si>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</si>
  <si>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</si>
  <si>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</si>
  <si>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</si>
  <si>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</si>
  <si>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</si>
  <si>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</si>
  <si>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</si>
  <si>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</si>
  <si>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</si>
  <si>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</si>
  <si>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</si>
  <si>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</si>
  <si>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</si>
  <si>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</si>
  <si>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</si>
  <si>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</si>
  <si>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</si>
  <si>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</si>
  <si>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</si>
  <si>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</si>
  <si>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</si>
  <si>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</si>
  <si>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</si>
  <si>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</si>
  <si>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</si>
  <si>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</si>
  <si>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</si>
  <si>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</si>
  <si>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</si>
  <si>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</si>
  <si>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</si>
  <si>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</si>
  <si>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</si>
  <si>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</si>
  <si>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</si>
  <si>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</si>
  <si>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</si>
  <si>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</si>
  <si>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</si>
  <si>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</si>
  <si>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</si>
  <si>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</si>
  <si>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</si>
  <si>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</si>
  <si>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</si>
  <si>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</si>
  <si>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</si>
  <si>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</si>
  <si>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</si>
  <si>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</si>
  <si>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</si>
  <si>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</si>
  <si>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</si>
  <si>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</si>
  <si>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</si>
  <si>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</si>
  <si>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</si>
  <si>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</si>
  <si>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</si>
  <si>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</si>
  <si>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</si>
  <si>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</si>
  <si>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</si>
  <si>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</si>
  <si>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</si>
  <si>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</si>
  <si>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</si>
  <si>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</si>
  <si>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</si>
  <si>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</si>
  <si>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</si>
  <si>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</si>
  <si>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</si>
  <si>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</si>
  <si>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</si>
  <si>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</si>
  <si>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</si>
  <si>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</si>
  <si>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</si>
  <si>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</si>
  <si>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</si>
  <si>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</si>
  <si>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</si>
  <si>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</si>
  <si>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</si>
  <si>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</si>
  <si>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</si>
  <si>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</si>
  <si>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</si>
  <si>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</si>
  <si>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</si>
  <si>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</si>
  <si>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</si>
  <si>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</si>
  <si>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</si>
  <si>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</si>
  <si>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</si>
  <si>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</si>
  <si>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</si>
  <si>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</si>
  <si>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</si>
  <si>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</si>
  <si>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</si>
  <si>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</si>
  <si>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</si>
  <si>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</si>
  <si>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</si>
  <si>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</si>
  <si>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</si>
  <si>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</si>
  <si>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</si>
  <si>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</si>
  <si>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</si>
  <si>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</si>
  <si>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</si>
  <si>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</si>
  <si>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</si>
  <si>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</si>
  <si>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</si>
  <si>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</si>
  <si>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</si>
  <si>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</si>
  <si>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</si>
  <si>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</si>
  <si>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</si>
  <si>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</si>
  <si>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</si>
  <si>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</si>
  <si>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</si>
  <si>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</si>
  <si>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</si>
  <si>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</si>
  <si>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</si>
  <si>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</si>
  <si>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</si>
  <si>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</si>
  <si>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</si>
  <si>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</si>
  <si>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</si>
  <si>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</si>
  <si>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</si>
  <si>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</si>
  <si>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</si>
  <si>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</si>
  <si>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</si>
  <si>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</si>
  <si>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</si>
  <si>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</si>
  <si>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</si>
  <si>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</si>
  <si>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</si>
  <si>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</si>
  <si>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</si>
  <si>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</si>
  <si>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</si>
  <si>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</si>
  <si>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</si>
  <si>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</si>
  <si>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</si>
  <si>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</si>
  <si>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</si>
  <si>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</si>
  <si>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</si>
  <si>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</si>
  <si>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</si>
  <si>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</si>
  <si>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</si>
  <si>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</si>
  <si>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</si>
  <si>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</si>
  <si>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</si>
  <si>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</si>
  <si>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</si>
  <si>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</si>
  <si>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</si>
  <si>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</si>
  <si>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</si>
  <si>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</si>
  <si>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</si>
  <si>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</si>
  <si>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</si>
  <si>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</si>
  <si>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</si>
  <si>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</si>
  <si>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</si>
  <si>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</si>
  <si>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</si>
  <si>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</si>
  <si>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</si>
  <si>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</si>
  <si>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</si>
  <si>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</si>
  <si>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</si>
  <si>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</si>
  <si>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</si>
  <si>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</si>
  <si>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</si>
  <si>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</si>
  <si>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</si>
  <si>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</si>
  <si>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</si>
  <si>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</si>
  <si>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</si>
  <si>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</si>
  <si>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</si>
  <si>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</si>
  <si>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</si>
  <si>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</si>
  <si>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</si>
  <si>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</si>
  <si>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</si>
  <si>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</si>
  <si>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</si>
  <si>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</si>
  <si>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</si>
  <si>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</si>
  <si>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</si>
  <si>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</si>
  <si>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</si>
  <si>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</si>
  <si>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</si>
  <si>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</si>
  <si>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</si>
  <si>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</si>
  <si>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</si>
  <si>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</si>
  <si>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</si>
  <si>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</si>
  <si>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</si>
  <si>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</si>
  <si>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</si>
  <si>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</si>
  <si>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</si>
  <si>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</si>
  <si>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</si>
  <si>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</si>
  <si>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</si>
  <si>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</si>
  <si>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</si>
  <si>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</si>
  <si>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</si>
  <si>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</si>
  <si>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</si>
  <si>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</si>
  <si>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</si>
  <si>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</si>
  <si>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</si>
  <si>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</si>
  <si>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</si>
  <si>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</si>
  <si>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</si>
  <si>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</si>
  <si>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</si>
  <si>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</si>
  <si>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</si>
  <si>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</si>
  <si>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</si>
  <si>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</si>
  <si>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</si>
  <si>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</si>
  <si>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</si>
  <si>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</si>
  <si>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</si>
  <si>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</si>
  <si>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</si>
  <si>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</si>
  <si>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</si>
  <si>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</si>
  <si>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</si>
  <si>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</si>
  <si>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</si>
  <si>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</si>
  <si>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</si>
  <si>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</si>
  <si>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</si>
  <si>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</si>
  <si>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</si>
  <si>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</si>
  <si>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</si>
  <si>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</si>
  <si>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</si>
  <si>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</si>
  <si>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</si>
  <si>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</si>
  <si>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</si>
  <si>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</si>
  <si>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</si>
  <si>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</si>
  <si>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</si>
  <si>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</si>
  <si>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</si>
  <si>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</si>
  <si>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</si>
  <si>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</si>
  <si>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</si>
  <si>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</si>
  <si>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</si>
  <si>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</si>
  <si>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</si>
  <si>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</si>
  <si>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</si>
  <si>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</si>
  <si>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</si>
  <si>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</si>
  <si>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</si>
  <si>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</si>
  <si>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</si>
  <si>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</si>
  <si>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</si>
  <si>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</si>
  <si>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</si>
  <si>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</si>
  <si>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</si>
  <si>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</si>
  <si>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</si>
  <si>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</si>
  <si>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</si>
  <si>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</si>
  <si>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</si>
  <si>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</si>
  <si>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</si>
  <si>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</si>
  <si>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</si>
  <si>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</si>
  <si>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</si>
  <si>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</si>
  <si>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</si>
  <si>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</si>
  <si>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</si>
  <si>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</si>
  <si>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</si>
  <si>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</si>
  <si>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</si>
  <si>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</si>
  <si>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</si>
  <si>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</si>
  <si>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</si>
  <si>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</si>
  <si>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</si>
  <si>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</si>
  <si>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</si>
  <si>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</si>
  <si>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</si>
  <si>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</si>
  <si>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</si>
  <si>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</si>
  <si>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</si>
  <si>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</si>
  <si>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</si>
  <si>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</si>
  <si>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</si>
  <si>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</si>
  <si>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</si>
  <si>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</si>
  <si>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</si>
  <si>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</si>
  <si>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</si>
  <si>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</si>
  <si>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</si>
  <si>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</si>
  <si>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</si>
  <si>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</si>
  <si>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</si>
  <si>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</si>
  <si>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</si>
  <si>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</si>
  <si>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</si>
  <si>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</si>
  <si>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</si>
  <si>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</si>
  <si>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</si>
  <si>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</si>
  <si>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</si>
  <si>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</si>
  <si>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</si>
  <si>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</si>
  <si>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</si>
  <si>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</si>
  <si>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</si>
  <si>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</si>
  <si>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</si>
  <si>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</si>
  <si>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</si>
  <si>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</si>
  <si>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</si>
  <si>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</si>
  <si>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</si>
  <si>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</si>
  <si>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</si>
  <si>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</si>
  <si>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</si>
  <si>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</si>
  <si>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</si>
  <si>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</si>
  <si>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</si>
  <si>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</si>
  <si>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</si>
  <si>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</si>
  <si>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</si>
  <si>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</si>
  <si>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</si>
  <si>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</si>
  <si>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</si>
  <si>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</si>
  <si>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</si>
  <si>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</si>
  <si>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</si>
  <si>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</si>
  <si>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</si>
  <si>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</si>
  <si>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</si>
  <si>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</si>
  <si>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</si>
  <si>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</si>
  <si>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</si>
  <si>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</si>
  <si>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</si>
  <si>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</si>
  <si>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</si>
  <si>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</si>
  <si>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</si>
  <si>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</si>
  <si>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</si>
  <si>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</si>
  <si>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</si>
  <si>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</si>
  <si>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</si>
  <si>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</si>
  <si>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</si>
  <si>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</si>
  <si>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</si>
  <si>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</si>
  <si>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</si>
  <si>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</si>
  <si>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</si>
  <si>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</si>
  <si>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</si>
  <si>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</si>
  <si>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</si>
  <si>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</si>
  <si>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</si>
  <si>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</si>
  <si>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</si>
  <si>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</si>
  <si>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</si>
  <si>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</si>
  <si>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</si>
  <si>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</si>
  <si>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</si>
  <si>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</si>
  <si>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</si>
  <si>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</si>
  <si>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</si>
  <si>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</si>
  <si>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</si>
  <si>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</si>
  <si>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</si>
  <si>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</si>
  <si>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</si>
  <si>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</si>
  <si>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</si>
  <si>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</si>
  <si>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</si>
  <si>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</si>
  <si>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</si>
  <si>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</si>
  <si>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</si>
  <si>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</si>
  <si>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</si>
  <si>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</si>
  <si>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</si>
  <si>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</si>
  <si>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</si>
  <si>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</si>
  <si>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</si>
  <si>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</si>
  <si>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</si>
  <si>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</si>
  <si>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</si>
  <si>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</si>
  <si>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</si>
  <si>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</si>
  <si>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</si>
  <si>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</si>
  <si>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</si>
  <si>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</si>
  <si>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</si>
  <si>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</si>
  <si>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</si>
  <si>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</si>
  <si>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</si>
  <si>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</si>
  <si>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</si>
  <si>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</si>
  <si>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</si>
  <si>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</si>
  <si>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</si>
  <si>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</si>
  <si>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</si>
  <si>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</si>
  <si>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</si>
  <si>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</si>
  <si>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</si>
  <si>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</si>
  <si>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</si>
  <si>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</si>
  <si>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</si>
  <si>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</si>
  <si>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</si>
  <si>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</si>
  <si>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</si>
  <si>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</si>
  <si>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</si>
  <si>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</si>
  <si>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</si>
  <si>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</si>
  <si>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</si>
  <si>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</si>
  <si>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</si>
  <si>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</si>
  <si>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</si>
  <si>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</si>
  <si>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</si>
  <si>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</si>
  <si>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</si>
  <si>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</si>
  <si>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</si>
  <si>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</si>
  <si>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</si>
  <si>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</si>
  <si>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</si>
  <si>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</si>
  <si>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</si>
  <si>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</si>
  <si>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</si>
  <si>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</si>
  <si>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</si>
  <si>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</si>
  <si>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</si>
  <si>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</si>
  <si>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</si>
  <si>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</si>
  <si>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</si>
  <si>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</si>
  <si>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</si>
  <si>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</si>
  <si>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</si>
  <si>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</si>
  <si>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</si>
  <si>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</si>
  <si>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</si>
  <si>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</si>
  <si>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</si>
  <si>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</si>
  <si>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</si>
  <si>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</si>
  <si>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</si>
  <si>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</si>
  <si>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</si>
  <si>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</si>
  <si>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</si>
  <si>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</si>
  <si>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</si>
  <si>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</si>
  <si>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</si>
  <si>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</si>
  <si>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</si>
  <si>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</si>
  <si>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</si>
  <si>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</si>
  <si>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</si>
  <si>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</si>
  <si>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</si>
  <si>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</si>
  <si>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</si>
  <si>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</si>
  <si>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</si>
  <si>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</si>
  <si>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</si>
  <si>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</si>
  <si>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</si>
  <si>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</si>
  <si>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</si>
  <si>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</si>
  <si>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</si>
  <si>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</si>
  <si>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</si>
  <si>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</si>
  <si>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</si>
  <si>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</si>
  <si>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</si>
  <si>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</si>
  <si>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</si>
  <si>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</si>
  <si>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</si>
  <si>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</si>
  <si>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</si>
  <si>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</si>
  <si>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</si>
  <si>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</si>
  <si>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</si>
  <si>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</si>
  <si>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</si>
  <si>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</si>
  <si>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</si>
  <si>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</si>
  <si>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</si>
  <si>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</si>
  <si>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</si>
  <si>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</si>
  <si>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</si>
  <si>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</si>
  <si>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</si>
  <si>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</si>
  <si>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</si>
  <si>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</si>
  <si>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</si>
  <si>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</si>
  <si>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</si>
  <si>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</si>
  <si>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</si>
  <si>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</si>
  <si>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</si>
  <si>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</si>
  <si>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</si>
  <si>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</si>
  <si>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</si>
  <si>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</si>
  <si>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</si>
  <si>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</si>
  <si>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</si>
  <si>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</si>
  <si>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</si>
  <si>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</si>
  <si>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</si>
  <si>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</si>
  <si>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</si>
  <si>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</si>
  <si>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</si>
  <si>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</si>
  <si>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</si>
  <si>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</si>
  <si>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</si>
  <si>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</si>
  <si>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</si>
  <si>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</si>
  <si>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</si>
  <si>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</si>
  <si>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</si>
  <si>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</si>
  <si>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</si>
  <si>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</si>
  <si>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</si>
  <si>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</si>
  <si>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</si>
  <si>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</si>
  <si>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</si>
  <si>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</si>
  <si>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</si>
  <si>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</si>
  <si>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</si>
  <si>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</si>
  <si>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</si>
  <si>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</si>
  <si>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</si>
  <si>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</si>
  <si>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</si>
  <si>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</si>
  <si>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</si>
  <si>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</si>
  <si>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</si>
  <si>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</si>
  <si>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</si>
  <si>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</si>
  <si>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</si>
  <si>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</si>
  <si>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</si>
  <si>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</si>
  <si>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</si>
  <si>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</si>
  <si>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</si>
  <si>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</si>
  <si>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</si>
  <si>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</si>
  <si>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</si>
  <si>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</si>
  <si>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</si>
  <si>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</si>
  <si>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</si>
  <si>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</si>
  <si>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</si>
  <si>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</si>
  <si>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</si>
  <si>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</si>
  <si>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</si>
  <si>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</si>
  <si>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</si>
  <si>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</si>
  <si>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</si>
  <si>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</si>
  <si>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</si>
  <si>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</si>
  <si>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</si>
  <si>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</si>
  <si>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</si>
  <si>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</si>
  <si>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</si>
  <si>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</si>
  <si>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</si>
  <si>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</si>
  <si>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</si>
  <si>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</si>
  <si>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</si>
  <si>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</si>
  <si>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</si>
  <si>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</si>
  <si>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</si>
  <si>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</si>
  <si>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</si>
  <si>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</si>
  <si>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</si>
  <si>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</si>
  <si>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</si>
  <si>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</si>
  <si>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</si>
  <si>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</si>
  <si>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</si>
  <si>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</si>
  <si>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</si>
  <si>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</si>
  <si>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</si>
  <si>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</si>
  <si>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</si>
  <si>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</si>
  <si>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</si>
  <si>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</si>
  <si>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</si>
  <si>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</si>
  <si>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</si>
  <si>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</si>
  <si>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</si>
  <si>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</si>
  <si>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</si>
  <si>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</si>
  <si>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</si>
  <si>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</si>
  <si>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</si>
  <si>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</si>
  <si>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</si>
  <si>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</si>
  <si>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</si>
  <si>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</si>
  <si>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</si>
  <si>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</si>
  <si>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</si>
  <si>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</si>
  <si>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</si>
  <si>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</si>
  <si>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</si>
  <si>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</si>
  <si>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</si>
  <si>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</si>
  <si>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</si>
  <si>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</si>
  <si>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</si>
  <si>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</si>
  <si>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</si>
  <si>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</si>
  <si>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</si>
  <si>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</si>
  <si>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</si>
  <si>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</si>
  <si>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</si>
  <si>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</si>
  <si>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</si>
  <si>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</si>
  <si>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</si>
  <si>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</si>
  <si>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</si>
  <si>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</si>
  <si>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</si>
  <si>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</si>
  <si>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</si>
  <si>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</si>
  <si>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</si>
  <si>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</si>
  <si>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</si>
  <si>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</si>
  <si>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</si>
  <si>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</si>
  <si>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</si>
  <si>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</si>
  <si>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</si>
  <si>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</si>
  <si>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</si>
  <si>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</si>
  <si>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</si>
  <si>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</si>
  <si>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</si>
  <si>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</si>
  <si>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</si>
  <si>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</si>
  <si>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</si>
  <si>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</si>
  <si>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</si>
  <si>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</si>
  <si>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</si>
  <si>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</si>
  <si>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</si>
  <si>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</si>
  <si>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</si>
  <si>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</si>
  <si>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</si>
  <si>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</si>
  <si>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</si>
  <si>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</si>
  <si>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</si>
  <si>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</si>
  <si>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</si>
  <si>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</si>
  <si>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</si>
  <si>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</si>
  <si>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</si>
  <si>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</si>
  <si>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</si>
  <si>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</si>
  <si>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</si>
  <si>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</si>
  <si>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</si>
  <si>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</si>
  <si>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</si>
  <si>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</si>
  <si>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</si>
  <si>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</si>
  <si>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</si>
  <si>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</si>
  <si>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</si>
  <si>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</si>
  <si>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</si>
  <si>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</si>
  <si>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</si>
  <si>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</si>
  <si>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</si>
  <si>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</si>
  <si>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</si>
  <si>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</si>
  <si>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</si>
  <si>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</si>
  <si>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</si>
  <si>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</si>
  <si>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</si>
  <si>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</si>
  <si>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</si>
  <si>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</si>
  <si>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</si>
  <si>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</si>
  <si>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</si>
  <si>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</si>
  <si>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</si>
  <si>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</si>
  <si>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</si>
  <si>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</si>
  <si>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</si>
  <si>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</si>
  <si>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</si>
  <si>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</si>
  <si>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</si>
  <si>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</si>
  <si>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</si>
  <si>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</si>
  <si>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</si>
  <si>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</si>
  <si>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</si>
  <si>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</si>
  <si>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</si>
  <si>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</si>
  <si>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</si>
  <si>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</si>
  <si>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</si>
  <si>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</si>
  <si>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</si>
  <si>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</si>
  <si>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</si>
  <si>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</si>
  <si>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</si>
  <si>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</si>
  <si>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</si>
  <si>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</si>
  <si>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</si>
  <si>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</si>
  <si>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</si>
  <si>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</si>
  <si>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</si>
  <si>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</si>
  <si>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</si>
  <si>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</si>
  <si>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</si>
  <si>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</si>
  <si>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</si>
  <si>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</si>
  <si>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</si>
  <si>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</si>
  <si>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</si>
  <si>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</si>
  <si>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</si>
  <si>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</si>
  <si>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</si>
  <si>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</si>
  <si>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</si>
  <si>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</si>
  <si>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</si>
  <si>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</si>
  <si>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</si>
  <si>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</si>
  <si>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</si>
  <si>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</si>
  <si>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</si>
  <si>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</si>
  <si>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</si>
  <si>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</si>
  <si>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</si>
  <si>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</si>
  <si>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</si>
  <si>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</si>
  <si>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</si>
  <si>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</si>
  <si>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</si>
  <si>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</si>
  <si>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</si>
  <si>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</si>
  <si>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</si>
  <si>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</si>
  <si>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</si>
  <si>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</si>
  <si>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</si>
  <si>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</si>
  <si>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</si>
  <si>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</si>
  <si>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</si>
  <si>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</si>
  <si>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</si>
  <si>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</si>
  <si>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</si>
  <si>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</si>
  <si>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</si>
  <si>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</si>
  <si>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</si>
  <si>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</si>
  <si>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</si>
  <si>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</si>
  <si>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</si>
  <si>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</si>
  <si>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</si>
  <si>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</si>
  <si>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</si>
  <si>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</si>
  <si>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</si>
  <si>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</si>
  <si>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</si>
  <si>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</si>
  <si>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</si>
  <si>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</si>
  <si>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</si>
  <si>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</si>
  <si>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</si>
  <si>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</si>
  <si>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</si>
  <si>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</si>
  <si>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</si>
  <si>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</si>
  <si>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</si>
  <si>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</si>
  <si>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</si>
  <si>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</si>
  <si>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</si>
  <si>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</si>
  <si>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</si>
  <si>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</si>
  <si>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</si>
  <si>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</si>
  <si>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</si>
  <si>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</si>
  <si>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</si>
  <si>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</si>
  <si>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</si>
  <si>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</si>
  <si>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</si>
  <si>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</si>
  <si>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</si>
  <si>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</si>
  <si>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</si>
  <si>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</si>
  <si>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</si>
  <si>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</si>
  <si>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</si>
  <si>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</si>
  <si>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</si>
  <si>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</si>
  <si>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</si>
  <si>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</si>
  <si>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</si>
  <si>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</si>
  <si>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</si>
  <si>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</si>
  <si>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</si>
  <si>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</si>
  <si>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</si>
  <si>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</si>
  <si>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</si>
  <si>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</si>
  <si>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</si>
  <si>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</si>
  <si>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</si>
  <si>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</si>
  <si>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</si>
  <si>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</si>
  <si>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</si>
  <si>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</si>
  <si>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</si>
  <si>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</si>
  <si>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</si>
  <si>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</si>
  <si>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</si>
  <si>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</si>
  <si>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</si>
  <si>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</si>
  <si>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</si>
  <si>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</si>
  <si>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</si>
  <si>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</si>
  <si>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</si>
  <si>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</si>
  <si>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</si>
  <si>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</si>
  <si>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</si>
  <si>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</si>
  <si>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</si>
  <si>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</si>
  <si>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</si>
  <si>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</si>
  <si>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</si>
  <si>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</si>
  <si>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</si>
  <si>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</si>
  <si>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</si>
  <si>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</si>
  <si>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</si>
  <si>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</si>
  <si>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</si>
  <si>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</si>
  <si>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</si>
  <si>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</si>
  <si>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</si>
  <si>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</si>
  <si>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</si>
  <si>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</si>
  <si>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</si>
  <si>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</si>
  <si>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</si>
  <si>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</si>
  <si>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</si>
  <si>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</si>
  <si>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</si>
  <si>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</si>
  <si>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</si>
  <si>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</si>
  <si>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</si>
  <si>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</si>
  <si>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</si>
  <si>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</si>
  <si>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</si>
  <si>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</si>
  <si>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</si>
  <si>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</si>
  <si>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</si>
  <si>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</si>
  <si>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</si>
  <si>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</si>
  <si>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</si>
  <si>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</si>
  <si>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</si>
  <si>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</si>
  <si>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</si>
  <si>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</si>
  <si>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</si>
  <si>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</si>
  <si>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</si>
  <si>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</si>
  <si>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</si>
  <si>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</si>
  <si>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</si>
  <si>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</si>
  <si>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</si>
  <si>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</si>
  <si>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</si>
  <si>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</si>
  <si>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</si>
  <si>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</si>
  <si>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</si>
  <si>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</si>
  <si>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</si>
  <si>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</si>
  <si>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</si>
  <si>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</si>
  <si>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</si>
  <si>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</si>
  <si>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</si>
  <si>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</si>
  <si>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</si>
  <si>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</si>
  <si>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</si>
  <si>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</si>
  <si>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</si>
  <si>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</si>
  <si>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</si>
  <si>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</si>
  <si>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</si>
  <si>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</si>
  <si>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</si>
  <si>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</si>
  <si>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</si>
  <si>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</si>
  <si>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</si>
  <si>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</si>
  <si>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</si>
  <si>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</si>
  <si>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</si>
  <si>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</si>
  <si>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</si>
  <si>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</si>
  <si>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</si>
  <si>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</si>
  <si>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</si>
  <si>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</si>
  <si>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</si>
  <si>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</si>
  <si>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</si>
  <si>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</si>
  <si>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</si>
  <si>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</si>
  <si>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</si>
  <si>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</si>
  <si>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</si>
  <si>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</si>
  <si>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</si>
  <si>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</si>
  <si>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</si>
  <si>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</si>
  <si>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</si>
  <si>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</si>
  <si>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</si>
  <si>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</si>
  <si>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</si>
  <si>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</si>
  <si>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</si>
  <si>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</si>
  <si>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</si>
  <si>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</si>
  <si>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</si>
  <si>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</si>
  <si>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</si>
  <si>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</si>
  <si>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</si>
  <si>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</si>
  <si>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</si>
  <si>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</si>
  <si>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</si>
  <si>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</si>
  <si>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</si>
  <si>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</si>
  <si>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</si>
  <si>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</si>
  <si>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</si>
  <si>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</si>
  <si>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</si>
  <si>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</si>
  <si>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</si>
  <si>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</si>
  <si>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</si>
  <si>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</si>
  <si>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</si>
  <si>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</si>
  <si>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</si>
  <si>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</si>
  <si>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</si>
  <si>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</si>
  <si>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</si>
  <si>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</si>
  <si>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</si>
  <si>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</si>
  <si>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</si>
  <si>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</si>
  <si>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</si>
  <si>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</si>
  <si>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</si>
  <si>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</si>
  <si>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</si>
  <si>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</si>
  <si>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</si>
  <si>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</si>
  <si>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</si>
  <si>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</si>
  <si>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</si>
  <si>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</si>
  <si>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</si>
  <si>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</si>
  <si>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</si>
  <si>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</si>
  <si>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</si>
  <si>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</si>
  <si>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</si>
  <si>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</si>
  <si>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</si>
  <si>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</si>
  <si>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</si>
  <si>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</si>
  <si>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</si>
  <si>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</si>
  <si>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</si>
  <si>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</si>
  <si>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</si>
  <si>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</si>
  <si>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</si>
  <si>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</si>
  <si>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</si>
  <si>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</si>
  <si>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</si>
  <si>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</si>
  <si>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</si>
  <si>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</si>
  <si>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</si>
  <si>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</si>
  <si>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</si>
  <si>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</si>
  <si>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</si>
  <si>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</si>
  <si>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</si>
  <si>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</si>
  <si>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</si>
  <si>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</si>
  <si>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</si>
  <si>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</si>
  <si>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</si>
  <si>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</si>
  <si>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</si>
  <si>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</si>
  <si>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</si>
  <si>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</si>
  <si>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</si>
  <si>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</si>
  <si>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</si>
  <si>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</si>
  <si>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</si>
  <si>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</si>
  <si>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</si>
  <si>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</si>
  <si>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</si>
  <si>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</si>
  <si>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</si>
  <si>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</si>
  <si>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</si>
  <si>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</si>
  <si>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</si>
  <si>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</si>
  <si>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</si>
  <si>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</si>
  <si>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</si>
  <si>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</si>
  <si>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</si>
  <si>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</si>
  <si>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</si>
  <si>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</si>
  <si>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</si>
  <si>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</si>
  <si>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</si>
  <si>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</si>
  <si>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</si>
  <si>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</si>
  <si>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</si>
  <si>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</si>
  <si>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</si>
  <si>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</si>
  <si>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</si>
  <si>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</si>
  <si>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</si>
  <si>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</si>
  <si>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</si>
  <si>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</si>
  <si>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</si>
  <si>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</si>
  <si>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</si>
  <si>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</si>
  <si>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</si>
  <si>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</si>
  <si>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</si>
  <si>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</si>
  <si>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</si>
  <si>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</si>
  <si>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</si>
  <si>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</si>
  <si>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</si>
  <si>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</si>
  <si>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</si>
  <si>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</si>
  <si>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</si>
  <si>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</si>
  <si>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</si>
  <si>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</si>
  <si>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</si>
  <si>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</si>
  <si>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</si>
  <si>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</si>
  <si>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</si>
  <si>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</si>
  <si>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</si>
  <si>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</si>
  <si>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</si>
  <si>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</si>
  <si>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</si>
  <si>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</si>
  <si>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</si>
  <si>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</si>
  <si>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</si>
  <si>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</si>
  <si>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</si>
  <si>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</si>
  <si>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</si>
  <si>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</si>
  <si>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</si>
  <si>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</si>
  <si>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</si>
  <si>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</si>
  <si>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</si>
  <si>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</si>
  <si>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</si>
  <si>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</si>
  <si>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</si>
  <si>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</si>
  <si>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</si>
  <si>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</si>
  <si>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</si>
  <si>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</si>
  <si>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</si>
  <si>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</si>
  <si>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</si>
  <si>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</si>
  <si>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</si>
  <si>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</si>
  <si>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</si>
  <si>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</si>
  <si>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</si>
  <si>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</si>
  <si>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</si>
  <si>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</si>
  <si>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</si>
  <si>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</si>
  <si>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</si>
  <si>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</si>
  <si>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</si>
  <si>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</si>
  <si>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</si>
  <si>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</si>
  <si>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</si>
  <si>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</si>
  <si>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</si>
  <si>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</si>
  <si>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</si>
  <si>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</si>
  <si>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</si>
  <si>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</si>
  <si>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</si>
  <si>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</si>
  <si>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</si>
  <si>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</si>
  <si>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</si>
  <si>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</si>
  <si>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</si>
  <si>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</si>
  <si>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</si>
  <si>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</si>
  <si>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</si>
  <si>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</si>
  <si>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</si>
  <si>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</si>
  <si>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</si>
  <si>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</si>
  <si>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</si>
  <si>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</si>
  <si>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</si>
  <si>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</si>
  <si>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</si>
  <si>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</si>
  <si>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</si>
  <si>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</si>
  <si>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</si>
  <si>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</si>
  <si>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</si>
  <si>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</si>
  <si>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</si>
  <si>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</si>
  <si>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</si>
  <si>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</si>
  <si>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</si>
  <si>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</si>
  <si>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</si>
  <si>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</si>
  <si>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</si>
  <si>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</si>
  <si>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</si>
  <si>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</si>
  <si>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</si>
  <si>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</si>
  <si>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</si>
  <si>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</si>
  <si>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</si>
  <si>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</si>
  <si>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</si>
  <si>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</si>
  <si>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</si>
  <si>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</si>
  <si>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</si>
  <si>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</si>
  <si>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</si>
  <si>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</si>
  <si>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</si>
  <si>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</si>
  <si>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</si>
  <si>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</si>
  <si>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</si>
  <si>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</si>
  <si>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</si>
  <si>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</si>
  <si>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</si>
  <si>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</si>
  <si>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</si>
  <si>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</si>
  <si>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</si>
  <si>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</si>
  <si>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</si>
  <si>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</si>
  <si>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</si>
  <si>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</si>
  <si>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</si>
  <si>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</si>
  <si>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</si>
  <si>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</si>
  <si>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</si>
  <si>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</si>
  <si>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</si>
  <si>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</si>
  <si>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</si>
  <si>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</si>
  <si>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</si>
  <si>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</si>
  <si>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</si>
  <si>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</si>
  <si>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</si>
  <si>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</si>
  <si>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</si>
  <si>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</si>
  <si>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</si>
  <si>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</si>
  <si>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</si>
  <si>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</si>
  <si>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</si>
  <si>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</si>
  <si>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</si>
  <si>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</si>
  <si>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</si>
  <si>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</si>
  <si>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</si>
  <si>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</si>
  <si>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</si>
  <si>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</si>
  <si>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</si>
  <si>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</si>
  <si>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</si>
  <si>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</si>
  <si>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</si>
  <si>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</si>
  <si>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</si>
  <si>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</si>
  <si>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</si>
  <si>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</si>
  <si>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</si>
  <si>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</si>
  <si>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</si>
  <si>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</si>
  <si>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</si>
  <si>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</si>
  <si>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</si>
  <si>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</si>
  <si>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</si>
  <si>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</si>
  <si>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</si>
  <si>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</si>
  <si>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</si>
  <si>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</si>
  <si>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</si>
  <si>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</si>
  <si>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</si>
  <si>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</si>
  <si>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</si>
  <si>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</si>
  <si>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</si>
  <si>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</si>
  <si>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</si>
  <si>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</si>
  <si>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</si>
  <si>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</si>
  <si>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</si>
  <si>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</si>
  <si>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</si>
  <si>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</si>
  <si>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</si>
  <si>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</si>
  <si>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</si>
  <si>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</si>
  <si>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</si>
  <si>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</si>
  <si>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</si>
  <si>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</si>
  <si>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</si>
  <si>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</si>
  <si>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</si>
  <si>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</si>
  <si>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</si>
  <si>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</si>
  <si>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</si>
  <si>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</si>
  <si>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</si>
  <si>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</si>
  <si>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</si>
  <si>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</si>
  <si>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</si>
  <si>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</si>
  <si>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</si>
  <si>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</si>
  <si>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</si>
  <si>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</si>
  <si>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</si>
  <si>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</si>
  <si>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</si>
  <si>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</si>
  <si>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</si>
  <si>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</si>
  <si>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</si>
  <si>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</si>
  <si>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</si>
  <si>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</si>
  <si>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</si>
  <si>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</si>
  <si>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</si>
  <si>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</si>
  <si>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</si>
  <si>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</si>
  <si>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</si>
  <si>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</si>
  <si>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</si>
  <si>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</si>
  <si>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</si>
  <si>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</si>
  <si>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</si>
  <si>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</si>
  <si>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</si>
  <si>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</si>
  <si>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</si>
  <si>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</si>
  <si>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</si>
  <si>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</si>
  <si>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</si>
  <si>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</si>
  <si>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</si>
  <si>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</si>
  <si>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</si>
  <si>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</si>
  <si>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</si>
  <si>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</si>
  <si>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</si>
  <si>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</si>
  <si>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</si>
  <si>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</si>
  <si>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</si>
  <si>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</si>
  <si>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</si>
  <si>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</si>
  <si>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</si>
  <si>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</si>
  <si>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</si>
  <si>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</si>
  <si>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</si>
  <si>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</si>
  <si>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</si>
  <si>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</si>
  <si>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</si>
  <si>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</si>
  <si>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</si>
  <si>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</si>
  <si>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</si>
  <si>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</si>
  <si>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</si>
  <si>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</si>
  <si>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</si>
  <si>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</si>
  <si>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</si>
  <si>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</si>
  <si>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</si>
  <si>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</si>
  <si>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</si>
  <si>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</si>
  <si>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</si>
  <si>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</si>
  <si>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</si>
  <si>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</si>
  <si>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</si>
  <si>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</si>
  <si>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</si>
  <si>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</si>
  <si>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</si>
  <si>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</si>
  <si>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</si>
  <si>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</si>
  <si>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</si>
  <si>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</si>
  <si>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</si>
  <si>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</si>
  <si>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</si>
  <si>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</si>
  <si>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</si>
  <si>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</si>
  <si>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</si>
  <si>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</si>
  <si>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</si>
  <si>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</si>
  <si>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</si>
  <si>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</si>
  <si>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</si>
  <si>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</si>
  <si>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</si>
  <si>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</si>
  <si>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</si>
  <si>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</si>
  <si>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</si>
  <si>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</si>
  <si>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</si>
  <si>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</si>
  <si>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</si>
  <si>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</si>
  <si>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</si>
  <si>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</si>
  <si>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</si>
  <si>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</si>
  <si>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</si>
  <si>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</si>
  <si>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</si>
  <si>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</si>
  <si>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</si>
  <si>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</si>
  <si>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</si>
  <si>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</si>
  <si>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</si>
  <si>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</si>
  <si>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</si>
  <si>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</si>
  <si>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</si>
  <si>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</si>
  <si>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</si>
  <si>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</si>
  <si>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</si>
  <si>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</si>
  <si>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</si>
  <si>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</si>
  <si>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</si>
  <si>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</si>
  <si>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</si>
  <si>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</si>
  <si>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</si>
  <si>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</si>
  <si>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</si>
  <si>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</si>
  <si>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</si>
  <si>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</si>
  <si>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</si>
  <si>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</si>
  <si>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</si>
  <si>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</si>
  <si>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</si>
  <si>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</si>
  <si>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</si>
  <si>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</si>
  <si>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</si>
  <si>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</si>
  <si>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</si>
  <si>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</si>
  <si>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</si>
  <si>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</si>
  <si>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</si>
  <si>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</si>
  <si>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</si>
  <si>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</si>
  <si>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</si>
  <si>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</si>
  <si>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</si>
  <si>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</si>
  <si>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</si>
  <si>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</si>
  <si>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</si>
  <si>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</si>
  <si>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</si>
  <si>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</si>
  <si>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</si>
  <si>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</si>
  <si>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</si>
  <si>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</si>
  <si>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</si>
  <si>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</si>
  <si>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</si>
  <si>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</si>
  <si>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</si>
  <si>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</si>
  <si>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</si>
  <si>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</si>
  <si>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</si>
  <si>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</si>
  <si>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</si>
  <si>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</si>
  <si>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</si>
  <si>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</si>
  <si>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</si>
  <si>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</si>
  <si>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</si>
  <si>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</si>
  <si>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</si>
  <si>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</si>
  <si>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</si>
  <si>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</si>
  <si>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</si>
  <si>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</si>
  <si>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</si>
  <si>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</si>
  <si>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</si>
  <si>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</si>
  <si>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</si>
  <si>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</si>
  <si>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</si>
  <si>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</si>
  <si>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</si>
  <si>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</si>
  <si>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</si>
  <si>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</si>
  <si>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</si>
  <si>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</si>
  <si>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</si>
  <si>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</si>
  <si>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</si>
  <si>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</si>
  <si>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</si>
  <si>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</si>
  <si>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</si>
  <si>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</si>
  <si>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</si>
  <si>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</si>
  <si>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</si>
  <si>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</si>
  <si>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</si>
  <si>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</si>
  <si>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</si>
  <si>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</si>
  <si>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</si>
  <si>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</si>
  <si>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</si>
  <si>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</si>
  <si>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</si>
  <si>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</si>
  <si>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</si>
  <si>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</si>
  <si>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</si>
  <si>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</si>
  <si>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</si>
  <si>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</si>
  <si>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</si>
  <si>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</si>
  <si>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</si>
  <si>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</si>
  <si>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</si>
  <si>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</si>
  <si>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</si>
  <si>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</si>
  <si>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</si>
  <si>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</si>
  <si>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</si>
  <si>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</si>
  <si>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</si>
  <si>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</si>
  <si>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</si>
  <si>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</si>
  <si>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</si>
  <si>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</si>
  <si>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</si>
  <si>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</si>
  <si>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</si>
  <si>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</si>
  <si>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</si>
  <si>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</si>
  <si>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</si>
  <si>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</si>
  <si>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</si>
  <si>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</si>
  <si>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</si>
  <si>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</si>
  <si>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</si>
  <si>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</si>
  <si>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</si>
  <si>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</si>
  <si>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</si>
  <si>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</si>
  <si>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</si>
  <si>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</si>
  <si>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</si>
  <si>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</si>
  <si>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</si>
  <si>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</si>
  <si>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</si>
  <si>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</si>
  <si>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</si>
  <si>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</si>
  <si>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</si>
  <si>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</si>
  <si>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</si>
  <si>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</si>
  <si>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</si>
  <si>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</si>
  <si>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</si>
  <si>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</si>
  <si>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</si>
  <si>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</si>
  <si>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</si>
  <si>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</si>
  <si>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</si>
  <si>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</si>
  <si>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</si>
  <si>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</si>
  <si>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</si>
  <si>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</si>
  <si>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</si>
  <si>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</si>
  <si>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</si>
  <si>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</si>
  <si>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</si>
  <si>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</si>
  <si>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</si>
  <si>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</si>
  <si>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</si>
  <si>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</si>
  <si>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</si>
  <si>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</si>
  <si>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</si>
  <si>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</si>
  <si>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</si>
  <si>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</si>
  <si>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</si>
  <si>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</si>
  <si>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</si>
  <si>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</si>
  <si>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</si>
  <si>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</si>
  <si>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</si>
  <si>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</si>
  <si>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</si>
  <si>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</si>
  <si>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</si>
  <si>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</si>
  <si>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</si>
  <si>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</si>
  <si>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</si>
  <si>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</si>
  <si>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</si>
  <si>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</si>
  <si>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</si>
  <si>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</si>
  <si>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</si>
  <si>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</si>
  <si>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</si>
  <si>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</si>
  <si>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</si>
  <si>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</si>
  <si>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</si>
  <si>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</si>
  <si>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</si>
  <si>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</si>
  <si>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</si>
  <si>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</si>
  <si>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</si>
  <si>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</si>
  <si>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</si>
  <si>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</si>
  <si>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</si>
  <si>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</si>
  <si>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</si>
  <si>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</si>
  <si>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</si>
  <si>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</si>
  <si>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</si>
  <si>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</si>
  <si>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</si>
  <si>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</si>
  <si>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</si>
  <si>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</si>
  <si>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</si>
  <si>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</si>
  <si>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</si>
  <si>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</si>
  <si>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</si>
  <si>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</si>
  <si>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</si>
  <si>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</si>
  <si>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</si>
  <si>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</si>
  <si>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</si>
  <si>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</si>
  <si>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</si>
  <si>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</si>
  <si>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</si>
  <si>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</si>
  <si>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</si>
  <si>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</si>
  <si>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</si>
  <si>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</si>
  <si>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</si>
  <si>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</si>
  <si>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</si>
  <si>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</si>
  <si>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</si>
  <si>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</si>
  <si>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</si>
  <si>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</si>
  <si>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</si>
  <si>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</si>
  <si>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</si>
  <si>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</si>
  <si>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</si>
  <si>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</si>
  <si>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</si>
  <si>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</si>
  <si>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</si>
  <si>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</si>
  <si>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</si>
  <si>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</si>
  <si>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</si>
  <si>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</si>
  <si>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</si>
  <si>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</si>
  <si>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</si>
  <si>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</si>
  <si>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</si>
  <si>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</si>
  <si>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</si>
  <si>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</si>
  <si>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</si>
  <si>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</si>
  <si>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</si>
  <si>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</si>
  <si>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</si>
  <si>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</si>
  <si>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</si>
  <si>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</si>
  <si>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</si>
  <si>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</si>
  <si>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</si>
  <si>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</si>
  <si>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</si>
  <si>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</si>
  <si>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</si>
  <si>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</si>
  <si>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</si>
  <si>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</si>
  <si>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</si>
  <si>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</si>
  <si>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</si>
  <si>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</si>
  <si>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</si>
  <si>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</si>
  <si>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</si>
  <si>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</si>
  <si>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</si>
  <si>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</si>
  <si>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</si>
  <si>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</si>
  <si>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</si>
  <si>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</si>
  <si>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</si>
  <si>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</si>
  <si>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</si>
  <si>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</si>
  <si>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</si>
  <si>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</si>
  <si>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</si>
  <si>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</si>
  <si>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</si>
  <si>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</si>
  <si>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</si>
  <si>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</si>
  <si>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</si>
  <si>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</si>
  <si>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</si>
  <si>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</si>
  <si>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</si>
  <si>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</si>
  <si>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</si>
  <si>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</si>
  <si>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</si>
  <si>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</si>
  <si>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</si>
  <si>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</si>
  <si>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</si>
  <si>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</si>
  <si>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</si>
  <si>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</si>
  <si>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</si>
  <si>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</si>
  <si>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</si>
  <si>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</si>
  <si>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</si>
  <si>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</si>
  <si>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</si>
  <si>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</si>
  <si>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</si>
  <si>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</si>
  <si>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</si>
  <si>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</si>
  <si>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</si>
  <si>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</si>
  <si>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</si>
  <si>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</si>
  <si>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</si>
  <si>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</si>
  <si>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</si>
  <si>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</si>
  <si>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</si>
  <si>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</si>
  <si>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</si>
  <si>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</si>
  <si>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</si>
  <si>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</si>
  <si>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</si>
  <si>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</si>
  <si>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</si>
  <si>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</si>
  <si>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</si>
  <si>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</si>
  <si>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</si>
  <si>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</si>
  <si>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</si>
  <si>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</si>
  <si>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</si>
  <si>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</si>
  <si>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</si>
  <si>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</si>
  <si>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</si>
  <si>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</si>
  <si>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</si>
  <si>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</si>
  <si>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</si>
  <si>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</si>
  <si>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</si>
  <si>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</si>
  <si>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</si>
  <si>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</si>
  <si>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</si>
  <si>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</si>
  <si>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</si>
  <si>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</si>
  <si>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</si>
  <si>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</si>
  <si>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</si>
  <si>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</si>
  <si>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</si>
  <si>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</si>
  <si>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</si>
  <si>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</si>
  <si>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</si>
  <si>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</si>
  <si>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</si>
  <si>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</si>
  <si>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</si>
  <si>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</si>
  <si>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</si>
  <si>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</si>
  <si>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</si>
  <si>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</si>
  <si>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</si>
  <si>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</si>
  <si>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</si>
  <si>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</si>
  <si>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</si>
  <si>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</si>
  <si>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</si>
  <si>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</si>
  <si>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</si>
  <si>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</si>
  <si>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</si>
  <si>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</si>
  <si>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</si>
  <si>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</si>
  <si>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</si>
  <si>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</si>
  <si>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</si>
  <si>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</si>
  <si>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</si>
  <si>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</si>
  <si>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</si>
  <si>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</si>
  <si>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</si>
  <si>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</si>
  <si>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</si>
  <si>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</si>
  <si>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</si>
  <si>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</si>
  <si>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</si>
  <si>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</si>
  <si>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</si>
  <si>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</si>
  <si>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</si>
  <si>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</si>
  <si>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</si>
  <si>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</si>
  <si>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</si>
  <si>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</si>
  <si>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</si>
  <si>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</si>
  <si>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</si>
  <si>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</si>
  <si>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</si>
  <si>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</si>
  <si>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</si>
  <si>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</si>
  <si>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</si>
  <si>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</si>
  <si>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</si>
  <si>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</si>
  <si>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</si>
  <si>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</si>
  <si>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</si>
  <si>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</si>
  <si>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</si>
  <si>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</si>
  <si>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</si>
  <si>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</si>
  <si>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</si>
  <si>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</si>
  <si>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</si>
  <si>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</si>
  <si>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</si>
  <si>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</si>
  <si>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</si>
  <si>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</si>
  <si>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</si>
  <si>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</si>
  <si>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</si>
  <si>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</si>
  <si>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</si>
  <si>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</si>
  <si>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</si>
  <si>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</si>
  <si>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</si>
  <si>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</si>
  <si>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</si>
  <si>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</si>
  <si>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</si>
  <si>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</si>
  <si>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</si>
  <si>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</si>
  <si>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</si>
  <si>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</si>
  <si>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</si>
  <si>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</si>
  <si>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</si>
  <si>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</si>
  <si>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</si>
  <si>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</si>
  <si>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</si>
  <si>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</si>
  <si>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</si>
  <si>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</si>
  <si>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</si>
  <si>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</si>
  <si>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</si>
  <si>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</si>
  <si>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</si>
  <si>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</si>
  <si>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</si>
  <si>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</si>
  <si>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</si>
  <si>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</si>
  <si>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</si>
  <si>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</si>
  <si>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</si>
  <si>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</si>
  <si>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</si>
  <si>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</si>
  <si>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</si>
  <si>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</si>
  <si>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</si>
  <si>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</si>
  <si>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</si>
  <si>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</si>
  <si>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</si>
  <si>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</si>
  <si>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</si>
  <si>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</si>
  <si>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</si>
  <si>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</si>
  <si>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</si>
  <si>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</si>
  <si>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</si>
  <si>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</si>
  <si>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</si>
  <si>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</si>
  <si>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</si>
  <si>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</si>
  <si>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</si>
  <si>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</si>
  <si>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</si>
  <si>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</si>
  <si>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</si>
  <si>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</si>
  <si>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</si>
  <si>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</si>
  <si>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</si>
  <si>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</si>
  <si>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</si>
  <si>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</si>
  <si>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</si>
  <si>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</si>
  <si>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</si>
  <si>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</si>
  <si>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</si>
  <si>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</si>
  <si>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</si>
  <si>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</si>
  <si>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</si>
  <si>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</si>
  <si>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</si>
  <si>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</si>
  <si>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</si>
  <si>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</si>
  <si>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</si>
  <si>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</si>
  <si>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</si>
  <si>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</si>
  <si>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</si>
  <si>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</si>
  <si>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</si>
  <si>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</si>
  <si>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</si>
  <si>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</si>
  <si>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</si>
  <si>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</si>
  <si>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</si>
  <si>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</si>
  <si>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</si>
  <si>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</si>
  <si>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</si>
  <si>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</si>
  <si>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</si>
  <si>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</si>
  <si>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</si>
  <si>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</si>
  <si>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</si>
  <si>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</si>
  <si>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</si>
  <si>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</si>
  <si>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</si>
  <si>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</si>
  <si>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</si>
  <si>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</si>
  <si>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</si>
  <si>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</si>
  <si>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</si>
  <si>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</si>
  <si>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</si>
  <si>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</si>
  <si>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</si>
  <si>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</si>
  <si>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</si>
  <si>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</si>
  <si>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</si>
  <si>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</si>
  <si>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</si>
  <si>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</si>
  <si>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</si>
  <si>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</si>
  <si>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</si>
  <si>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</si>
  <si>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</si>
  <si>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</si>
  <si>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</si>
  <si>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</si>
  <si>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</si>
  <si>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</si>
  <si>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</si>
  <si>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</si>
  <si>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</si>
  <si>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</si>
  <si>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</si>
  <si>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</si>
  <si>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</si>
  <si>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</si>
  <si>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</si>
  <si>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</si>
  <si>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</si>
  <si>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</si>
  <si>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</si>
  <si>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</si>
  <si>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</si>
  <si>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</si>
  <si>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</si>
  <si>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</si>
  <si>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</si>
  <si>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</si>
  <si>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</si>
  <si>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</si>
  <si>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</si>
  <si>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</si>
  <si>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</si>
  <si>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</si>
  <si>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</si>
  <si>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</si>
  <si>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</si>
  <si>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</si>
  <si>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</si>
  <si>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</si>
  <si>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</si>
  <si>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</si>
  <si>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</si>
  <si>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</si>
  <si>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</si>
  <si>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</si>
  <si>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</si>
  <si>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</si>
  <si>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</si>
  <si>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</si>
  <si>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</si>
  <si>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</si>
  <si>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</si>
  <si>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</si>
  <si>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</si>
  <si>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</si>
  <si>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</si>
  <si>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</si>
  <si>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</si>
  <si>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</si>
  <si>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</si>
  <si>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</si>
  <si>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</si>
  <si>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</si>
  <si>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</si>
  <si>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</si>
  <si>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</si>
  <si>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</si>
  <si>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</si>
  <si>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</si>
  <si>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</si>
  <si>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</si>
  <si>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</si>
  <si>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</si>
  <si>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</si>
  <si>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</si>
  <si>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</si>
  <si>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</si>
  <si>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</si>
  <si>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</si>
  <si>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</si>
  <si>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</si>
  <si>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</si>
  <si>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</si>
  <si>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</si>
  <si>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</si>
  <si>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</si>
  <si>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</si>
  <si>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</si>
  <si>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</si>
  <si>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</si>
  <si>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</si>
  <si>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</si>
  <si>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</si>
  <si>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</si>
  <si>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</si>
  <si>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</si>
  <si>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</si>
  <si>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</si>
  <si>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</si>
  <si>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</si>
  <si>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</si>
  <si>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</si>
  <si>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</si>
  <si>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</si>
  <si>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</si>
  <si>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</si>
  <si>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</si>
  <si>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</si>
  <si>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</si>
  <si>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</si>
  <si>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</si>
  <si>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</si>
  <si>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</si>
  <si>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</si>
  <si>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</si>
  <si>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</si>
  <si>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</si>
  <si>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</si>
  <si>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</si>
  <si>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</si>
  <si>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</si>
  <si>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</si>
  <si>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</si>
  <si>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</si>
  <si>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</si>
  <si>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</si>
  <si>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</si>
  <si>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</si>
  <si>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</si>
  <si>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</si>
  <si>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</si>
  <si>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</si>
  <si>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</si>
  <si>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</si>
  <si>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</si>
  <si>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</si>
  <si>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</si>
  <si>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</si>
  <si>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</si>
  <si>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</si>
  <si>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</si>
  <si>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</si>
  <si>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</si>
  <si>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</si>
  <si>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</si>
  <si>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</si>
  <si>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</si>
  <si>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</si>
  <si>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</si>
  <si>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</si>
  <si>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</si>
  <si>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</si>
  <si>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</si>
  <si>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</si>
  <si>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</si>
  <si>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</si>
  <si>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</si>
  <si>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</si>
  <si>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</si>
  <si>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</si>
  <si>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</si>
  <si>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</si>
  <si>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</si>
  <si>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</si>
  <si>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</si>
  <si>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</si>
  <si>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</si>
  <si>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</si>
  <si>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</si>
  <si>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</si>
  <si>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</si>
  <si>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</si>
  <si>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</si>
  <si>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</si>
  <si>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</si>
  <si>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</si>
  <si>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</si>
  <si>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</si>
  <si>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</si>
  <si>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</si>
  <si>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</si>
  <si>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</si>
  <si>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</si>
  <si>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</si>
  <si>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</si>
  <si>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</si>
  <si>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</si>
  <si>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</si>
  <si>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</si>
  <si>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</si>
  <si>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</si>
  <si>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</si>
  <si>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</si>
  <si>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</si>
  <si>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</si>
  <si>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</si>
  <si>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</si>
  <si>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</si>
  <si>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</si>
  <si>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</si>
  <si>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</si>
  <si>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</si>
  <si>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</si>
  <si>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</si>
  <si>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</si>
  <si>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</si>
  <si>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</si>
  <si>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</si>
  <si>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</si>
  <si>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</si>
  <si>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</si>
  <si>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</si>
  <si>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</si>
  <si>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</si>
  <si>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</si>
  <si>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</si>
  <si>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</si>
  <si>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</si>
  <si>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</si>
  <si>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</si>
  <si>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</si>
  <si>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</si>
  <si>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</si>
  <si>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</si>
  <si>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</si>
  <si>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</si>
  <si>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</si>
  <si>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</si>
  <si>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</si>
  <si>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</si>
  <si>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</si>
  <si>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</si>
  <si>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</si>
  <si>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</si>
  <si>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</si>
  <si>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</si>
  <si>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</si>
  <si>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</si>
  <si>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</si>
  <si>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</si>
  <si>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</si>
  <si>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</si>
  <si>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</si>
  <si>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</si>
  <si>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</si>
  <si>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</si>
  <si>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</si>
  <si>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</si>
  <si>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</si>
  <si>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</si>
  <si>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</si>
  <si>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</si>
  <si>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</si>
  <si>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</si>
  <si>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</si>
  <si>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</si>
  <si>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</si>
  <si>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</si>
  <si>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</si>
  <si>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</si>
  <si>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</si>
  <si>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</si>
  <si>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</si>
  <si>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</si>
  <si>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</si>
  <si>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</si>
  <si>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</si>
  <si>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</si>
  <si>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</si>
  <si>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</si>
  <si>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</si>
  <si>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</si>
  <si>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</si>
  <si>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</si>
  <si>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</si>
  <si>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</si>
  <si>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</si>
  <si>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</si>
  <si>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</si>
  <si>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</si>
  <si>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</si>
  <si>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</si>
  <si>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</si>
  <si>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</si>
  <si>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</si>
  <si>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</si>
  <si>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</si>
  <si>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</si>
  <si>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</si>
  <si>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</si>
  <si>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</si>
  <si>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</si>
  <si>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</si>
  <si>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</si>
  <si>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</si>
  <si>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</si>
  <si>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</si>
  <si>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</si>
  <si>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</si>
  <si>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</si>
  <si>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</si>
  <si>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</si>
  <si>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</si>
  <si>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</si>
  <si>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</si>
  <si>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</si>
  <si>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</si>
  <si>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</si>
  <si>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</si>
  <si>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</si>
  <si>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</si>
  <si>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</si>
  <si>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</si>
  <si>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</si>
  <si>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</si>
  <si>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</si>
  <si>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</si>
  <si>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</si>
  <si>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</si>
  <si>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</si>
  <si>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</si>
  <si>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</si>
  <si>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</si>
  <si>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</si>
  <si>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</si>
  <si>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</si>
  <si>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</si>
  <si>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</si>
  <si>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</si>
  <si>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</si>
  <si>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</si>
  <si>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</si>
  <si>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</si>
  <si>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</si>
  <si>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</si>
  <si>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</si>
  <si>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</si>
  <si>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</si>
  <si>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</si>
  <si>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</si>
  <si>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</si>
  <si>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</si>
  <si>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</si>
  <si>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</si>
  <si>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</si>
  <si>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</si>
  <si>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</si>
  <si>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</si>
  <si>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</si>
  <si>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</si>
  <si>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</si>
  <si>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</si>
  <si>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</si>
  <si>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</si>
  <si>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</si>
  <si>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</si>
  <si>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</si>
  <si>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</si>
  <si>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</si>
  <si>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</si>
  <si>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</si>
  <si>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</si>
  <si>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</si>
  <si>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</si>
  <si>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</si>
  <si>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</si>
  <si>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</si>
  <si>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</si>
  <si>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</si>
  <si>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</si>
  <si>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</si>
  <si>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</si>
  <si>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</si>
  <si>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</si>
  <si>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</si>
  <si>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</si>
  <si>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</si>
  <si>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</si>
  <si>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</si>
  <si>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</si>
  <si>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</si>
  <si>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</si>
  <si>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</si>
  <si>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</si>
  <si>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</si>
  <si>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</si>
  <si>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</si>
  <si>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</si>
  <si>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</si>
  <si>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</si>
  <si>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</si>
  <si>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</si>
  <si>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</si>
  <si>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</si>
  <si>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</si>
  <si>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</si>
  <si>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</si>
  <si>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</si>
  <si>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</si>
  <si>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</si>
  <si>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</si>
  <si>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</si>
  <si>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</si>
  <si>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</si>
  <si>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</si>
  <si>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</si>
  <si>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</si>
  <si>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</si>
  <si>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</si>
  <si>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</si>
  <si>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</si>
  <si>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</si>
  <si>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</si>
  <si>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</si>
  <si>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</si>
  <si>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</si>
  <si>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</si>
  <si>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</si>
  <si>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</si>
  <si>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</si>
  <si>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</si>
  <si>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</si>
  <si>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</si>
  <si>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</si>
  <si>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</si>
  <si>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</si>
  <si>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</si>
  <si>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</si>
  <si>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</si>
  <si>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</si>
  <si>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</si>
  <si>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</si>
  <si>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</si>
  <si>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</si>
  <si>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</si>
  <si>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</si>
  <si>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</si>
  <si>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</si>
  <si>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</si>
  <si>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</si>
  <si>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</si>
  <si>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</si>
  <si>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</si>
  <si>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</si>
  <si>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</si>
  <si>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</si>
  <si>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</si>
  <si>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</si>
  <si>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</si>
  <si>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</si>
  <si>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</si>
  <si>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</si>
  <si>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</si>
  <si>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</si>
  <si>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</si>
  <si>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</si>
  <si>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</si>
  <si>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</si>
  <si>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</si>
  <si>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</si>
  <si>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</si>
  <si>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</si>
  <si>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</si>
  <si>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</si>
  <si>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</si>
  <si>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</si>
  <si>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</si>
  <si>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</si>
  <si>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</si>
  <si>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</si>
  <si>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</si>
  <si>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</si>
  <si>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</si>
  <si>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</si>
  <si>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</si>
  <si>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</si>
  <si>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</si>
  <si>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</si>
  <si>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</si>
  <si>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</si>
  <si>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</si>
  <si>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</si>
  <si>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</si>
  <si>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</si>
  <si>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</si>
  <si>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</si>
  <si>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</si>
  <si>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</si>
  <si>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</si>
  <si>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</si>
  <si>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</si>
  <si>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</si>
  <si>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</si>
  <si>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</si>
  <si>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</si>
  <si>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</si>
  <si>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</si>
  <si>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</si>
  <si>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</si>
  <si>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</si>
  <si>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</si>
  <si>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</si>
  <si>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</si>
  <si>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</si>
  <si>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</si>
  <si>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</si>
  <si>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</si>
  <si>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</si>
  <si>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</si>
  <si>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</si>
  <si>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</si>
  <si>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</si>
  <si>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</si>
  <si>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</si>
  <si>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</si>
  <si>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</si>
  <si>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</si>
  <si>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</si>
  <si>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</si>
  <si>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</si>
  <si>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</si>
  <si>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</si>
  <si>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</si>
  <si>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</si>
  <si>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</si>
  <si>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</si>
  <si>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</si>
  <si>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</si>
  <si>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</si>
  <si>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</si>
  <si>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</si>
  <si>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</si>
  <si>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</si>
  <si>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</si>
  <si>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</si>
  <si>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</si>
  <si>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</si>
  <si>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</si>
  <si>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</si>
  <si>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</si>
  <si>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</si>
  <si>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</si>
  <si>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</si>
  <si>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</si>
  <si>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</si>
  <si>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</si>
  <si>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</si>
  <si>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</si>
  <si>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</si>
  <si>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</si>
  <si>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</si>
  <si>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</si>
  <si>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</si>
  <si>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</si>
  <si>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</si>
  <si>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</si>
  <si>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</si>
  <si>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</si>
  <si>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</si>
  <si>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</si>
  <si>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</si>
  <si>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</si>
  <si>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</si>
  <si>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</si>
  <si>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</si>
  <si>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</si>
  <si>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</si>
  <si>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</si>
  <si>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</si>
  <si>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</si>
  <si>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</si>
  <si>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</si>
  <si>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</si>
  <si>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</si>
  <si>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</si>
  <si>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</si>
  <si>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</si>
  <si>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</si>
  <si>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</si>
  <si>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</si>
  <si>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</si>
  <si>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</si>
  <si>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</si>
  <si>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</si>
  <si>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</si>
  <si>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</si>
  <si>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</si>
  <si>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</si>
  <si>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</si>
  <si>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</si>
  <si>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</si>
  <si>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</si>
  <si>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</si>
  <si>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</si>
  <si>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</si>
  <si>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</si>
  <si>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</si>
  <si>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</si>
  <si>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</si>
  <si>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</si>
  <si>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</si>
  <si>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</si>
  <si>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</si>
  <si>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</si>
  <si>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</si>
  <si>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</si>
  <si>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</si>
  <si>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</si>
  <si>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</si>
  <si>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</si>
  <si>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</si>
  <si>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</si>
  <si>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</si>
  <si>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</si>
  <si>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</si>
  <si>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</si>
  <si>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</si>
  <si>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</si>
  <si>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</si>
  <si>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</si>
  <si>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</si>
  <si>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</si>
  <si>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</si>
  <si>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</si>
  <si>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</si>
  <si>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</si>
  <si>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</si>
  <si>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</si>
  <si>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</si>
  <si>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</si>
  <si>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</si>
  <si>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</si>
  <si>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</si>
  <si>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</si>
  <si>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</si>
  <si>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</si>
  <si>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</si>
  <si>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</si>
  <si>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</si>
  <si>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</si>
  <si>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</si>
  <si>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</si>
  <si>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</si>
  <si>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</si>
  <si>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</si>
  <si>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</si>
  <si>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</si>
  <si>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</si>
  <si>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</si>
  <si>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</si>
  <si>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</si>
  <si>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</si>
  <si>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</si>
  <si>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</si>
  <si>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</si>
  <si>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</si>
  <si>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</si>
  <si>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</si>
  <si>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</si>
  <si>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</si>
  <si>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</si>
  <si>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</si>
  <si>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</si>
  <si>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</si>
  <si>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</si>
  <si>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</si>
  <si>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</si>
  <si>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</si>
  <si>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</si>
  <si>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</si>
  <si>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</si>
  <si>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</si>
  <si>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</si>
  <si>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</si>
  <si>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</si>
  <si>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</si>
  <si>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</si>
  <si>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</si>
  <si>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</si>
  <si>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</si>
  <si>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</si>
  <si>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</si>
  <si>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</si>
  <si>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</si>
  <si>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</si>
  <si>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</si>
  <si>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</si>
  <si>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</si>
  <si>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</si>
  <si>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</si>
  <si>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</si>
  <si>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</si>
  <si>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</si>
  <si>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</si>
  <si>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</si>
  <si>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</si>
  <si>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</si>
  <si>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</si>
  <si>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</si>
  <si>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</si>
  <si>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</si>
  <si>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</si>
  <si>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</si>
  <si>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</si>
  <si>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</si>
  <si>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</si>
  <si>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</si>
  <si>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</si>
  <si>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</si>
  <si>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</si>
  <si>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</si>
  <si>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</si>
  <si>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</si>
  <si>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</si>
  <si>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</si>
  <si>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</si>
  <si>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</si>
  <si>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</si>
  <si>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</si>
  <si>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</si>
  <si>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</si>
  <si>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</si>
  <si>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</si>
  <si>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</si>
  <si>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</si>
  <si>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</si>
  <si>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</si>
  <si>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</si>
  <si>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</si>
  <si>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</si>
  <si>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</si>
  <si>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</si>
  <si>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</si>
  <si>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</si>
  <si>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</si>
  <si>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</si>
  <si>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</si>
  <si>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</si>
  <si>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</si>
  <si>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</si>
  <si>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</si>
  <si>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</si>
  <si>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</si>
  <si>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</si>
  <si>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</si>
  <si>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</si>
  <si>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</si>
  <si>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</si>
  <si>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</si>
  <si>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</si>
  <si>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</si>
  <si>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</si>
  <si>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</si>
  <si>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</si>
  <si>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</si>
  <si>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</si>
  <si>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</si>
  <si>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</si>
  <si>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</si>
  <si>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</si>
  <si>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</si>
  <si>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</si>
  <si>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</si>
  <si>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</si>
  <si>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</si>
  <si>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</si>
  <si>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</si>
  <si>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</si>
  <si>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</si>
  <si>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</si>
  <si>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</si>
  <si>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</si>
  <si>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</si>
  <si>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</si>
  <si>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</si>
  <si>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</si>
  <si>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</si>
  <si>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</si>
  <si>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</si>
  <si>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</si>
  <si>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</si>
  <si>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</si>
  <si>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</si>
  <si>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</si>
  <si>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</si>
  <si>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</si>
  <si>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</si>
  <si>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</si>
  <si>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</si>
  <si>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</si>
  <si>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</si>
  <si>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</si>
  <si>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</si>
  <si>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</si>
  <si>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</si>
  <si>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</si>
  <si>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</si>
  <si>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</si>
  <si>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</si>
  <si>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</si>
  <si>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</si>
  <si>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</si>
  <si>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</si>
  <si>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</si>
  <si>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</si>
  <si>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</si>
  <si>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</si>
  <si>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</si>
  <si>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</si>
  <si>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</si>
  <si>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</si>
  <si>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</si>
  <si>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</si>
  <si>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</si>
  <si>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</si>
  <si>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</si>
  <si>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</si>
  <si>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</si>
  <si>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</si>
  <si>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</si>
  <si>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</si>
  <si>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</si>
  <si>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</si>
  <si>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</si>
  <si>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</si>
  <si>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</si>
  <si>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</si>
  <si>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</si>
  <si>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</si>
  <si>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</si>
  <si>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</si>
  <si>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</si>
  <si>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</si>
  <si>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</si>
  <si>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</si>
  <si>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</si>
  <si>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</si>
  <si>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</si>
  <si>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</si>
  <si>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</si>
  <si>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</si>
  <si>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</si>
  <si>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</si>
  <si>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</si>
  <si>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</si>
  <si>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</si>
  <si>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</si>
  <si>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</si>
  <si>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</si>
  <si>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</si>
  <si>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</si>
  <si>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</si>
  <si>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</si>
  <si>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</si>
  <si>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</si>
  <si>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</si>
  <si>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</si>
  <si>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</si>
  <si>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</si>
  <si>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</si>
  <si>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</si>
  <si>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</si>
  <si>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</si>
  <si>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</si>
  <si>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</si>
  <si>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</si>
  <si>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</si>
  <si>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</si>
  <si>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</si>
  <si>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</si>
  <si>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</si>
  <si>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</si>
  <si>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</si>
  <si>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</si>
  <si>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</si>
  <si>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</si>
  <si>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</si>
  <si>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</si>
  <si>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</si>
  <si>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</si>
  <si>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</si>
  <si>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</si>
  <si>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</si>
  <si>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</si>
  <si>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</si>
  <si>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</si>
  <si>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</si>
  <si>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</si>
  <si>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</si>
  <si>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</si>
  <si>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</si>
  <si>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</si>
  <si>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</si>
  <si>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</si>
  <si>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</si>
  <si>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</si>
  <si>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</si>
  <si>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</si>
  <si>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</si>
  <si>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</si>
  <si>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</si>
  <si>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</si>
  <si>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</si>
  <si>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</si>
  <si>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</si>
  <si>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</si>
  <si>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</si>
  <si>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</si>
  <si>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</si>
  <si>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</si>
  <si>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</si>
  <si>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</si>
  <si>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</si>
  <si>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</si>
  <si>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</si>
  <si>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</si>
  <si>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</si>
  <si>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</si>
  <si>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</si>
  <si>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</si>
  <si>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</si>
  <si>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</si>
  <si>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</si>
  <si>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</si>
  <si>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</si>
  <si>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</si>
  <si>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</si>
  <si>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</si>
  <si>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</si>
  <si>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</si>
  <si>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</si>
  <si>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</si>
  <si>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</si>
  <si>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</si>
  <si>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</si>
  <si>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</si>
  <si>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</si>
  <si>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</si>
  <si>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</si>
  <si>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</si>
  <si>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</si>
  <si>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</si>
  <si>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</si>
  <si>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</si>
  <si>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</si>
  <si>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</si>
  <si>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</si>
  <si>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</si>
  <si>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</si>
  <si>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</si>
  <si>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</si>
  <si>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</si>
  <si>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</si>
  <si>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</si>
  <si>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</si>
  <si>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</si>
  <si>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</si>
  <si>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</si>
  <si>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</si>
  <si>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</si>
  <si>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</si>
  <si>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</si>
  <si>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</si>
  <si>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</si>
  <si>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</si>
  <si>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</si>
  <si>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</si>
  <si>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</si>
  <si>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</si>
  <si>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</si>
  <si>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</si>
  <si>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</si>
  <si>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</si>
  <si>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</si>
  <si>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</si>
  <si>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</si>
  <si>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</si>
  <si>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</si>
  <si>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</si>
  <si>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</si>
  <si>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</si>
  <si>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</si>
  <si>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</si>
  <si>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</si>
  <si>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</si>
  <si>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</si>
  <si>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</si>
  <si>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</si>
  <si>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</si>
  <si>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</si>
  <si>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</si>
  <si>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</si>
  <si>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</si>
  <si>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</si>
  <si>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</si>
  <si>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</si>
  <si>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</si>
  <si>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</si>
  <si>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</si>
  <si>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</si>
  <si>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</si>
  <si>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</si>
  <si>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</si>
  <si>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</si>
  <si>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</si>
  <si>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</si>
  <si>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</si>
  <si>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</si>
  <si>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</si>
  <si>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</si>
  <si>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</si>
  <si>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</si>
  <si>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</si>
  <si>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</si>
  <si>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</si>
  <si>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</si>
  <si>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</si>
  <si>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</si>
  <si>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</si>
  <si>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</si>
  <si>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</si>
  <si>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</si>
  <si>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</si>
  <si>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</si>
  <si>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</si>
  <si>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</si>
  <si>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</si>
  <si>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</si>
  <si>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</si>
  <si>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</si>
  <si>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</si>
  <si>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</si>
  <si>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</si>
  <si>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</si>
  <si>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</si>
  <si>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</si>
  <si>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</si>
  <si>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</si>
  <si>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</si>
  <si>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</si>
  <si>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</si>
  <si>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</si>
  <si>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</si>
  <si>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</si>
  <si>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</si>
  <si>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</si>
  <si>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</si>
  <si>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</si>
  <si>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</si>
  <si>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</si>
  <si>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</si>
  <si>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</si>
  <si>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</si>
  <si>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</si>
  <si>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</si>
  <si>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</si>
  <si>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</si>
  <si>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</si>
  <si>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</si>
  <si>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</si>
  <si>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</si>
  <si>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</si>
  <si>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</si>
  <si>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</si>
  <si>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</si>
  <si>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</si>
  <si>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</si>
  <si>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</si>
  <si>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</si>
  <si>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</si>
  <si>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</si>
  <si>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</si>
  <si>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</si>
  <si>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</si>
  <si>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</si>
  <si>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</si>
  <si>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</si>
  <si>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</si>
  <si>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</si>
  <si>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</si>
  <si>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</si>
  <si>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</si>
  <si>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</si>
  <si>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</si>
  <si>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</si>
  <si>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</si>
  <si>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</si>
  <si>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</si>
  <si>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</si>
  <si>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</si>
  <si>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</si>
  <si>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</si>
  <si>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</si>
  <si>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</si>
  <si>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</si>
  <si>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</si>
  <si>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</si>
  <si>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</si>
  <si>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</si>
  <si>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</si>
  <si>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</si>
  <si>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</si>
  <si>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</si>
  <si>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</si>
  <si>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</si>
  <si>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</si>
  <si>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</si>
  <si>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</si>
  <si>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</si>
  <si>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</si>
  <si>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</si>
  <si>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</si>
  <si>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</si>
  <si>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</si>
  <si>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</si>
  <si>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</si>
  <si>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</si>
  <si>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</si>
  <si>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</si>
  <si>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</si>
  <si>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</si>
  <si>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</si>
  <si>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</si>
  <si>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</si>
  <si>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</si>
  <si>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</si>
  <si>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</si>
  <si>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</si>
  <si>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</si>
  <si>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</si>
  <si>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</si>
  <si>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</si>
  <si>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</si>
  <si>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</si>
  <si>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</si>
  <si>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</si>
  <si>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</si>
  <si>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</si>
  <si>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</si>
  <si>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</si>
  <si>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</si>
  <si>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</si>
  <si>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</si>
  <si>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</si>
  <si>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</si>
  <si>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</si>
  <si>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</si>
  <si>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</si>
  <si>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</si>
  <si>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</si>
  <si>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</si>
  <si>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</si>
  <si>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</si>
  <si>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</si>
  <si>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</si>
  <si>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</si>
  <si>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</si>
  <si>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</si>
  <si>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</si>
  <si>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</si>
  <si>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</si>
  <si>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</si>
  <si>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</si>
  <si>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</si>
  <si>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</si>
  <si>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</si>
  <si>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</si>
  <si>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</si>
  <si>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</si>
  <si>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</si>
  <si>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</si>
  <si>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</si>
  <si>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</si>
  <si>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</si>
  <si>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</si>
  <si>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</si>
  <si>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</si>
  <si>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</si>
  <si>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</si>
  <si>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</si>
  <si>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</si>
  <si>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</si>
  <si>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</si>
  <si>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</si>
  <si>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</si>
  <si>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</si>
  <si>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</si>
  <si>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</si>
  <si>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</si>
  <si>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</si>
  <si>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</si>
  <si>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</si>
  <si>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</si>
  <si>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</si>
  <si>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</si>
  <si>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</si>
  <si>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</si>
  <si>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</si>
  <si>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</si>
  <si>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</si>
  <si>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</si>
  <si>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</si>
  <si>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</si>
  <si>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</si>
  <si>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</si>
  <si>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</si>
  <si>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</si>
  <si>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</si>
  <si>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</si>
  <si>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</si>
  <si>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</si>
  <si>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</si>
  <si>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</si>
  <si>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</si>
  <si>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</si>
  <si>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</si>
  <si>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</si>
  <si>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</si>
  <si>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</si>
  <si>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</si>
  <si>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</si>
  <si>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</si>
  <si>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</si>
  <si>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</si>
  <si>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</si>
  <si>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</si>
  <si>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</si>
  <si>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</si>
  <si>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</si>
  <si>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</si>
  <si>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</si>
  <si>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</si>
  <si>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</si>
  <si>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</si>
  <si>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</si>
  <si>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</si>
  <si>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</si>
  <si>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</si>
  <si>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</si>
  <si>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</si>
  <si>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</si>
  <si>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</si>
  <si>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</si>
  <si>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</si>
  <si>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</si>
  <si>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</si>
  <si>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</si>
  <si>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</si>
  <si>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</si>
  <si>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</si>
  <si>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</si>
  <si>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</si>
  <si>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</si>
  <si>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</si>
  <si>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</si>
  <si>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</si>
  <si>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</si>
  <si>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</si>
  <si>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</si>
  <si>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</si>
  <si>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</si>
  <si>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</si>
  <si>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</si>
  <si>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</si>
  <si>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</si>
  <si>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</si>
  <si>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</si>
  <si>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</si>
  <si>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</si>
  <si>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</si>
  <si>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</si>
  <si>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</si>
  <si>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</si>
  <si>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</si>
  <si>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</si>
  <si>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</si>
  <si>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</si>
  <si>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</si>
  <si>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</si>
  <si>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</si>
  <si>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</si>
  <si>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</si>
  <si>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</si>
  <si>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</si>
  <si>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</si>
  <si>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</si>
  <si>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</si>
  <si>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</si>
  <si>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</si>
  <si>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</si>
  <si>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</si>
  <si>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</si>
  <si>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</si>
  <si>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</si>
  <si>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</si>
  <si>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</si>
  <si>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</si>
  <si>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</si>
  <si>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</si>
  <si>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</si>
  <si>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</si>
  <si>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</si>
  <si>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</si>
  <si>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</si>
  <si>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</si>
  <si>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</si>
  <si>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</si>
  <si>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</si>
  <si>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</si>
  <si>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</si>
  <si>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</si>
  <si>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</si>
  <si>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</si>
  <si>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</si>
  <si>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</si>
  <si>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</si>
  <si>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</si>
  <si>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</si>
  <si>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</si>
  <si>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</si>
  <si>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</si>
  <si>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</si>
  <si>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</si>
  <si>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</si>
  <si>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</si>
  <si>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</si>
  <si>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</si>
  <si>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</si>
  <si>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</si>
  <si>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</si>
  <si>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</si>
  <si>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</si>
  <si>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</si>
  <si>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</si>
  <si>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</si>
  <si>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</si>
  <si>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</si>
  <si>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</si>
  <si>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</si>
  <si>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</si>
  <si>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</si>
  <si>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</si>
  <si>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</si>
  <si>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</si>
  <si>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</si>
  <si>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</si>
  <si>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</si>
  <si>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</si>
  <si>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</si>
  <si>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</si>
  <si>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</si>
  <si>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</si>
  <si>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</si>
  <si>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</si>
  <si>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</si>
  <si>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</si>
  <si>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</si>
  <si>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</si>
  <si>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</si>
  <si>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</si>
  <si>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</si>
  <si>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</si>
  <si>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</si>
  <si>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</si>
  <si>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</si>
  <si>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</si>
  <si>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</si>
  <si>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</si>
  <si>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</si>
  <si>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</si>
  <si>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</si>
  <si>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</si>
  <si>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</si>
  <si>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</si>
  <si>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</si>
  <si>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</si>
  <si>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</si>
  <si>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</si>
  <si>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</si>
  <si>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</si>
  <si>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</si>
  <si>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</si>
  <si>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</si>
  <si>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</si>
  <si>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</si>
  <si>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</si>
  <si>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</si>
  <si>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</si>
  <si>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</si>
  <si>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</si>
  <si>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</si>
  <si>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</si>
  <si>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</si>
  <si>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</si>
  <si>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</si>
  <si>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</si>
  <si>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</si>
  <si>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</si>
  <si>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</si>
  <si>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</si>
  <si>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</si>
  <si>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</si>
  <si>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</si>
  <si>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</si>
  <si>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</si>
  <si>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</si>
  <si>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</si>
  <si>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</si>
  <si>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</si>
  <si>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</si>
  <si>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</si>
  <si>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</si>
  <si>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</si>
  <si>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</si>
  <si>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</si>
  <si>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</si>
  <si>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</si>
  <si>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</si>
  <si>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</si>
  <si>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</si>
  <si>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</si>
  <si>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</si>
  <si>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</si>
  <si>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</si>
  <si>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</si>
  <si>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</si>
  <si>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</si>
  <si>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</si>
  <si>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</si>
  <si>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</si>
  <si>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</si>
  <si>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</si>
  <si>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</si>
  <si>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</si>
  <si>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</si>
  <si>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</si>
  <si>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</si>
  <si>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</si>
  <si>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</si>
  <si>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</si>
  <si>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</si>
  <si>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</si>
  <si>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</si>
  <si>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</si>
  <si>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</si>
  <si>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</si>
  <si>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</si>
  <si>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</si>
  <si>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</si>
  <si>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</si>
  <si>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</si>
  <si>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</si>
  <si>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</si>
  <si>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</si>
  <si>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</si>
  <si>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</si>
  <si>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</si>
  <si>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</si>
  <si>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</si>
  <si>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</si>
  <si>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</si>
  <si>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</si>
  <si>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</si>
  <si>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</si>
  <si>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</si>
  <si>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</si>
  <si>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</si>
  <si>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</si>
  <si>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</si>
  <si>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</si>
  <si>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</si>
  <si>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</si>
  <si>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</si>
  <si>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</si>
  <si>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</si>
  <si>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</si>
  <si>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</si>
  <si>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</si>
  <si>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</si>
  <si>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</si>
  <si>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</si>
  <si>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</si>
  <si>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</si>
  <si>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</si>
  <si>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</si>
  <si>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</si>
  <si>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</si>
  <si>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</si>
  <si>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</si>
  <si>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</si>
  <si>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</si>
  <si>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</si>
  <si>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</si>
  <si>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</si>
  <si>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</si>
  <si>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</si>
  <si>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</si>
  <si>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</si>
  <si>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</si>
  <si>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</si>
  <si>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</si>
  <si>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</si>
  <si>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</si>
  <si>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</si>
  <si>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</si>
  <si>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</si>
  <si>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</si>
  <si>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</si>
  <si>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</si>
  <si>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</si>
  <si>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</si>
  <si>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</si>
  <si>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</si>
  <si>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</si>
  <si>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</si>
  <si>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</si>
  <si>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</si>
  <si>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</si>
  <si>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</si>
  <si>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</si>
  <si>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</si>
  <si>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</si>
  <si>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</si>
  <si>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</si>
  <si>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</si>
  <si>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</si>
  <si>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</si>
  <si>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</si>
  <si>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</si>
  <si>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</si>
  <si>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</si>
  <si>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</si>
  <si>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</si>
  <si>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</si>
  <si>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</si>
  <si>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</si>
  <si>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</si>
  <si>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</si>
  <si>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</si>
  <si>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</si>
  <si>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</si>
  <si>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</si>
  <si>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</si>
  <si>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</si>
  <si>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</si>
  <si>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</si>
  <si>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</si>
  <si>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</si>
  <si>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</si>
  <si>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</si>
  <si>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</si>
  <si>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</si>
  <si>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</si>
  <si>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</si>
  <si>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</si>
  <si>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</si>
  <si>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</si>
  <si>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</si>
  <si>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</si>
  <si>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</si>
  <si>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</si>
  <si>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</si>
  <si>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</si>
  <si>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</si>
  <si>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</si>
  <si>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</si>
  <si>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</si>
  <si>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</si>
  <si>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</si>
  <si>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</si>
  <si>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</si>
  <si>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</si>
  <si>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</si>
  <si>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</si>
  <si>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</si>
  <si>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</si>
  <si>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</si>
  <si>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</si>
  <si>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</si>
  <si>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</si>
  <si>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</si>
  <si>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</si>
  <si>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</si>
  <si>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</si>
  <si>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</si>
  <si>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</si>
  <si>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</si>
  <si>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</si>
  <si>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</si>
  <si>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</si>
  <si>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</si>
  <si>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</si>
  <si>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</si>
  <si>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</si>
  <si>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</si>
  <si>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</si>
  <si>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</si>
  <si>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</si>
  <si>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</si>
  <si>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</si>
  <si>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</si>
  <si>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</si>
  <si>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</si>
  <si>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</si>
  <si>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</si>
  <si>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</si>
  <si>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</si>
  <si>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</si>
  <si>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</si>
  <si>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</si>
  <si>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</si>
  <si>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</si>
  <si>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</si>
  <si>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</si>
  <si>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</si>
  <si>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</si>
  <si>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</si>
  <si>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</si>
  <si>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</si>
  <si>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</si>
  <si>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</si>
  <si>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</si>
  <si>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</si>
  <si>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</si>
  <si>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</si>
  <si>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</si>
  <si>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</si>
  <si>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</si>
  <si>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</si>
  <si>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</si>
  <si>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</si>
  <si>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</si>
  <si>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</si>
  <si>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</si>
  <si>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</si>
  <si>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</si>
  <si>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</si>
  <si>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</si>
  <si>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</si>
  <si>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</si>
  <si>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</si>
  <si>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</si>
  <si>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</si>
  <si>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</si>
  <si>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</si>
  <si>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</si>
  <si>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</si>
  <si>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</si>
  <si>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</si>
  <si>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</si>
  <si>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</si>
  <si>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</si>
  <si>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</si>
  <si>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</si>
  <si>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</si>
  <si>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</si>
  <si>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</si>
  <si>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</si>
  <si>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</si>
  <si>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</si>
  <si>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</si>
  <si>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</si>
  <si>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</si>
  <si>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</si>
  <si>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</si>
  <si>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</si>
  <si>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</si>
  <si>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</si>
  <si>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</si>
  <si>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</si>
  <si>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</si>
  <si>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</si>
  <si>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</si>
  <si>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</si>
  <si>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</si>
  <si>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</si>
  <si>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</si>
  <si>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</si>
  <si>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</si>
  <si>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</si>
  <si>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</si>
  <si>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</si>
  <si>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</si>
  <si>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</si>
  <si>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</si>
  <si>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</si>
  <si>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</si>
  <si>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</si>
  <si>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</si>
  <si>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</si>
  <si>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</si>
  <si>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</si>
  <si>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</si>
  <si>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</si>
  <si>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</si>
  <si>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</si>
  <si>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</si>
  <si>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</si>
  <si>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</si>
  <si>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</si>
  <si>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</si>
  <si>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</si>
  <si>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</si>
  <si>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</si>
  <si>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</si>
  <si>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</si>
  <si>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</si>
  <si>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</si>
  <si>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</si>
  <si>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</si>
  <si>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</si>
  <si>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</si>
  <si>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</si>
  <si>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</si>
  <si>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</si>
  <si>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</si>
  <si>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</si>
  <si>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</si>
  <si>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</si>
  <si>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</si>
  <si>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</si>
  <si>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</si>
  <si>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</si>
  <si>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</si>
  <si>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</si>
  <si>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</si>
  <si>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</si>
  <si>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</si>
  <si>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</si>
  <si>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</si>
  <si>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</si>
  <si>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</si>
  <si>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</si>
  <si>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</si>
  <si>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</si>
  <si>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</si>
  <si>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</si>
  <si>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</si>
  <si>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</si>
  <si>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</si>
  <si>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</si>
  <si>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</si>
  <si>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</si>
  <si>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</si>
  <si>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</si>
  <si>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</si>
  <si>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</si>
  <si>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</si>
  <si>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</si>
  <si>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</si>
  <si>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</si>
  <si>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</si>
  <si>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</si>
  <si>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</si>
  <si>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</si>
  <si>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</si>
  <si>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</si>
  <si>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</si>
  <si>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</si>
  <si>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</si>
  <si>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</si>
  <si>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</si>
  <si>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</si>
  <si>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</si>
  <si>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</si>
  <si>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</si>
  <si>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</si>
  <si>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</si>
  <si>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</si>
  <si>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</si>
  <si>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</si>
  <si>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</si>
  <si>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</si>
  <si>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</si>
  <si>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</si>
  <si>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</si>
  <si>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</si>
  <si>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</si>
  <si>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</si>
  <si>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</si>
  <si>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</si>
  <si>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</si>
  <si>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</si>
  <si>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</si>
  <si>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</si>
  <si>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</si>
  <si>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</si>
  <si>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</si>
  <si>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</si>
  <si>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</si>
  <si>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</si>
  <si>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</si>
  <si>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</si>
  <si>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</si>
  <si>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</si>
  <si>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</si>
  <si>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</si>
  <si>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</si>
  <si>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</si>
  <si>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</si>
  <si>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</si>
  <si>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</si>
  <si>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</si>
  <si>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</si>
  <si>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</si>
  <si>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</si>
  <si>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</si>
  <si>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</si>
  <si>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</si>
  <si>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</si>
  <si>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</si>
  <si>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</si>
  <si>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</si>
  <si>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</si>
  <si>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</si>
  <si>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</si>
  <si>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</si>
  <si>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</si>
  <si>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</si>
  <si>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</si>
  <si>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</si>
  <si>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</si>
  <si>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</si>
  <si>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</si>
  <si>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</si>
  <si>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</si>
  <si>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</si>
  <si>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</si>
  <si>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</si>
  <si>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</si>
  <si>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</si>
  <si>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</si>
  <si>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</si>
  <si>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</si>
  <si>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</si>
  <si>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</si>
  <si>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</si>
  <si>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</si>
  <si>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</si>
  <si>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</si>
  <si>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</si>
  <si>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</si>
  <si>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</si>
  <si>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</si>
  <si>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</si>
  <si>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</si>
  <si>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</si>
  <si>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</si>
  <si>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</si>
  <si>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</si>
  <si>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</si>
  <si>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</si>
  <si>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</si>
  <si>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</si>
  <si>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</si>
  <si>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</si>
  <si>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</si>
  <si>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</si>
  <si>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</si>
  <si>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</si>
  <si>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</si>
  <si>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</si>
  <si>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</si>
  <si>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</si>
  <si>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</si>
  <si>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</si>
  <si>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</si>
  <si>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</si>
  <si>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</si>
  <si>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</si>
  <si>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</si>
  <si>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</si>
  <si>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</si>
  <si>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</si>
  <si>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</si>
  <si>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</si>
  <si>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</si>
  <si>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</si>
  <si>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</si>
  <si>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</si>
  <si>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</si>
  <si>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</si>
  <si>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</si>
  <si>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</si>
  <si>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</si>
  <si>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</si>
  <si>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</si>
  <si>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</si>
  <si>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</si>
  <si>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</si>
  <si>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</si>
  <si>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</si>
  <si>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</si>
  <si>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</si>
  <si>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</si>
  <si>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</si>
  <si>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</si>
  <si>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</si>
  <si>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</si>
  <si>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</si>
  <si>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</si>
  <si>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</si>
  <si>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</si>
  <si>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</si>
  <si>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</si>
  <si>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</si>
  <si>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</si>
  <si>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</si>
  <si>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</si>
  <si>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</si>
  <si>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</si>
  <si>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</si>
  <si>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</si>
  <si>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</si>
  <si>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</si>
  <si>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</si>
  <si>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</si>
  <si>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</si>
  <si>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</si>
  <si>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</si>
  <si>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</si>
  <si>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</si>
  <si>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</si>
  <si>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</si>
  <si>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</si>
  <si>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</si>
  <si>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</si>
  <si>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</si>
  <si>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</si>
  <si>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</si>
  <si>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</si>
  <si>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</si>
  <si>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</si>
  <si>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</si>
  <si>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</si>
  <si>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</si>
  <si>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</si>
  <si>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</si>
  <si>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</si>
  <si>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</si>
  <si>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</si>
  <si>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</si>
  <si>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</si>
  <si>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</si>
  <si>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</si>
  <si>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</si>
  <si>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</si>
  <si>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</si>
  <si>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</si>
  <si>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</si>
  <si>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</si>
  <si>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</si>
  <si>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</si>
  <si>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</si>
  <si>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</si>
  <si>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</si>
  <si>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</si>
  <si>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</si>
  <si>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</si>
  <si>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</si>
  <si>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</si>
  <si>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</si>
  <si>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</si>
  <si>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</si>
  <si>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</si>
  <si>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</si>
  <si>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</si>
  <si>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</si>
  <si>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</si>
  <si>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</si>
  <si>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</si>
  <si>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</si>
  <si>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</si>
  <si>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</si>
  <si>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</si>
  <si>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</si>
  <si>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</si>
  <si>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</si>
  <si>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</si>
  <si>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</si>
  <si>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</si>
  <si>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</si>
  <si>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</si>
  <si>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</si>
  <si>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</si>
  <si>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</si>
  <si>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</si>
  <si>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</si>
  <si>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</si>
  <si>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</si>
  <si>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</si>
  <si>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</si>
  <si>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</si>
  <si>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</si>
  <si>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</si>
  <si>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</si>
  <si>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</si>
  <si>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</si>
  <si>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</si>
  <si>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</si>
  <si>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</si>
  <si>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</si>
  <si>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</si>
  <si>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</si>
  <si>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</si>
  <si>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</si>
  <si>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</si>
  <si>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</si>
  <si>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</si>
  <si>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</si>
  <si>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</si>
  <si>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</si>
  <si>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</si>
  <si>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</si>
  <si>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</si>
  <si>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</si>
  <si>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</si>
  <si>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</si>
  <si>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</si>
  <si>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</si>
  <si>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</si>
  <si>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</si>
  <si>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</si>
  <si>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</si>
  <si>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</si>
  <si>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</si>
  <si>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</si>
  <si>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</si>
  <si>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</si>
  <si>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</si>
  <si>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</si>
  <si>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</si>
  <si>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</si>
  <si>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</si>
  <si>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</si>
  <si>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</si>
  <si>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</si>
  <si>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</si>
  <si>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</si>
  <si>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</si>
  <si>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</si>
  <si>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</si>
  <si>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</si>
  <si>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</si>
  <si>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</si>
  <si>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</si>
  <si>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</si>
  <si>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</si>
  <si>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</si>
  <si>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</si>
  <si>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</si>
  <si>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</si>
  <si>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</si>
  <si>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</si>
  <si>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</si>
  <si>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</si>
  <si>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</si>
  <si>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</si>
  <si>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</si>
  <si>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</si>
  <si>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</si>
  <si>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</si>
  <si>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</si>
  <si>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</si>
  <si>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</si>
  <si>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</si>
  <si>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</si>
  <si>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</si>
  <si>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</si>
  <si>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</si>
  <si>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</si>
  <si>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</si>
  <si>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</si>
  <si>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</si>
  <si>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</si>
  <si>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</si>
  <si>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</si>
  <si>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</si>
  <si>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</si>
  <si>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</si>
  <si>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</si>
  <si>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</si>
  <si>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</si>
  <si>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</si>
  <si>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</si>
  <si>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</si>
  <si>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</si>
  <si>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</si>
  <si>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</si>
  <si>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</si>
  <si>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</si>
  <si>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</si>
  <si>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</si>
  <si>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</si>
  <si>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</si>
  <si>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</si>
  <si>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</si>
  <si>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</si>
  <si>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</si>
  <si>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</si>
  <si>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</si>
  <si>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</si>
  <si>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</si>
  <si>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</si>
  <si>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</si>
  <si>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</si>
  <si>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</si>
  <si>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</si>
  <si>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</si>
  <si>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</si>
  <si>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</si>
  <si>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</si>
  <si>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</si>
  <si>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</si>
  <si>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</si>
  <si>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</si>
  <si>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</si>
  <si>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</si>
  <si>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</si>
  <si>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</si>
  <si>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</si>
  <si>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</si>
  <si>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</si>
  <si>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</si>
  <si>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</si>
  <si>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</si>
  <si>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</si>
  <si>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</si>
  <si>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</si>
  <si>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</si>
  <si>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</si>
  <si>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</si>
  <si>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</si>
  <si>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</si>
  <si>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</si>
  <si>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</si>
  <si>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</si>
  <si>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</si>
  <si>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</si>
  <si>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</si>
  <si>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</si>
  <si>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</si>
  <si>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</si>
  <si>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</si>
  <si>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</si>
  <si>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</si>
  <si>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</si>
  <si>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</si>
  <si>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</si>
  <si>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</si>
  <si>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</si>
  <si>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</si>
  <si>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</si>
  <si>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</si>
  <si>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</si>
  <si>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</si>
  <si>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</si>
  <si>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</si>
  <si>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</si>
  <si>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</si>
  <si>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</si>
  <si>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</si>
  <si>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</si>
  <si>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</si>
  <si>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</si>
  <si>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</si>
  <si>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</si>
  <si>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</si>
  <si>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</si>
  <si>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</si>
  <si>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</si>
  <si>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</si>
  <si>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</si>
  <si>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</si>
  <si>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</si>
  <si>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</si>
  <si>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</si>
  <si>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</si>
  <si>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</si>
  <si>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</si>
  <si>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</si>
  <si>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</si>
  <si>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</si>
  <si>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</si>
  <si>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</si>
  <si>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</si>
  <si>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</si>
  <si>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</si>
  <si>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</si>
  <si>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</si>
  <si>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</si>
  <si>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</si>
  <si>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</si>
  <si>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</si>
  <si>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</si>
  <si>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</si>
  <si>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</si>
  <si>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</si>
  <si>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</si>
  <si>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</si>
  <si>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</si>
  <si>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</si>
  <si>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</si>
  <si>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</si>
  <si>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</si>
  <si>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</si>
  <si>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</si>
  <si>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</si>
  <si>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</si>
  <si>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</si>
  <si>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</si>
  <si>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</si>
  <si>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</si>
  <si>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</si>
  <si>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</si>
  <si>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</si>
  <si>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</si>
  <si>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</si>
  <si>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</si>
  <si>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</si>
  <si>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</si>
  <si>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</si>
  <si>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</si>
  <si>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</si>
  <si>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</si>
  <si>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</si>
  <si>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</si>
  <si>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</si>
  <si>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</si>
  <si>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</si>
  <si>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</si>
  <si>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</si>
  <si>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</si>
  <si>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</si>
  <si>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</si>
  <si>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</si>
  <si>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</si>
  <si>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</si>
  <si>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</si>
  <si>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</si>
  <si>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</si>
  <si>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</si>
  <si>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</si>
  <si>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</si>
  <si>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</si>
  <si>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</si>
  <si>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</si>
  <si>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</si>
  <si>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</si>
  <si>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</si>
  <si>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</si>
  <si>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</si>
  <si>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</si>
  <si>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</si>
  <si>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</si>
  <si>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</si>
  <si>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</si>
  <si>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</si>
  <si>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</si>
  <si>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</si>
  <si>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</si>
  <si>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</si>
  <si>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</si>
  <si>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</si>
  <si>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</si>
  <si>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</si>
  <si>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</si>
  <si>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</si>
  <si>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</si>
  <si>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</si>
  <si>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</si>
  <si>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</si>
  <si>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</si>
  <si>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</si>
  <si>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</si>
  <si>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</si>
  <si>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</si>
  <si>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</si>
  <si>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</si>
  <si>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</si>
  <si>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</si>
  <si>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</si>
  <si>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</si>
  <si>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</si>
  <si>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</si>
  <si>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</si>
  <si>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</si>
  <si>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</si>
  <si>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</si>
  <si>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</si>
  <si>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</si>
  <si>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</si>
  <si>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</si>
  <si>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</si>
  <si>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</si>
  <si>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</si>
  <si>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</si>
  <si>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</si>
  <si>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</si>
  <si>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</si>
  <si>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</si>
  <si>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</si>
  <si>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</si>
  <si>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</si>
  <si>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</si>
  <si>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</si>
  <si>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</si>
  <si>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</si>
  <si>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</si>
  <si>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</si>
  <si>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</si>
  <si>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</si>
  <si>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</si>
  <si>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</si>
  <si>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</si>
  <si>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</si>
  <si>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</si>
  <si>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</si>
  <si>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</si>
  <si>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</si>
  <si>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</si>
  <si>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</si>
  <si>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</si>
  <si>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</si>
  <si>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</si>
  <si>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</si>
  <si>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</si>
  <si>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</si>
  <si>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</si>
  <si>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</si>
  <si>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</si>
  <si>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</si>
  <si>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</si>
  <si>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</si>
  <si>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</si>
  <si>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</si>
  <si>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</si>
  <si>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</si>
  <si>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</si>
  <si>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</si>
  <si>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</si>
  <si>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</si>
  <si>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</si>
  <si>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</si>
  <si>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</si>
  <si>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</si>
  <si>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</si>
  <si>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</si>
  <si>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</si>
  <si>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</si>
  <si>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</si>
  <si>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</si>
  <si>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</si>
  <si>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</si>
  <si>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</si>
  <si>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</si>
  <si>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</si>
  <si>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</si>
  <si>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</si>
  <si>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</si>
  <si>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</si>
  <si>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</si>
  <si>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</si>
  <si>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</si>
  <si>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</si>
  <si>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</si>
  <si>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</si>
  <si>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</si>
  <si>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</si>
  <si>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</si>
  <si>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</si>
  <si>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</si>
  <si>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</si>
  <si>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</si>
  <si>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</si>
  <si>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</si>
  <si>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</si>
  <si>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</si>
  <si>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</si>
  <si>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</si>
  <si>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</si>
  <si>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</si>
  <si>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</si>
  <si>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</si>
  <si>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</si>
  <si>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</si>
  <si>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</si>
  <si>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</si>
  <si>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</si>
  <si>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</si>
  <si>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</si>
  <si>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</si>
  <si>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</si>
  <si>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</si>
  <si>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</si>
  <si>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</si>
  <si>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</si>
  <si>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</si>
  <si>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</si>
  <si>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</si>
  <si>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</si>
  <si>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</si>
  <si>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</si>
  <si>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</si>
  <si>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</si>
  <si>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</si>
  <si>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</si>
  <si>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</si>
  <si>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</si>
  <si>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</si>
  <si>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</si>
  <si>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</si>
  <si>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</si>
  <si>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</si>
  <si>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</si>
  <si>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</si>
  <si>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</si>
  <si>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</si>
  <si>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</si>
  <si>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</si>
  <si>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</si>
  <si>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</si>
  <si>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</si>
  <si>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</si>
  <si>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</si>
  <si>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</si>
  <si>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</si>
  <si>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</si>
  <si>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</si>
  <si>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</si>
  <si>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</si>
  <si>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</si>
  <si>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</si>
  <si>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</si>
  <si>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</si>
  <si>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</si>
  <si>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</si>
  <si>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</si>
  <si>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</si>
  <si>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</si>
  <si>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</si>
  <si>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</si>
  <si>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</si>
  <si>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</si>
  <si>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</si>
  <si>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</si>
  <si>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</si>
  <si>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</si>
  <si>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</si>
  <si>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</si>
  <si>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</si>
  <si>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</si>
  <si>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</si>
  <si>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</si>
  <si>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</si>
  <si>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</si>
  <si>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</si>
  <si>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</si>
  <si>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</si>
  <si>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</si>
  <si>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</si>
  <si>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</si>
  <si>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</si>
  <si>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</si>
  <si>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</si>
  <si>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</si>
  <si>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</si>
  <si>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</si>
  <si>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</si>
  <si>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</si>
  <si>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</si>
  <si>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</si>
  <si>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</si>
  <si>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</si>
  <si>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</si>
  <si>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</si>
  <si>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</si>
  <si>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</si>
  <si>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</si>
  <si>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</si>
  <si>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</si>
  <si>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</si>
  <si>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</si>
  <si>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</si>
  <si>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</si>
  <si>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</si>
  <si>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</si>
  <si>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</si>
  <si>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</si>
  <si>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</si>
  <si>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</si>
  <si>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</si>
  <si>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</si>
  <si>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</si>
  <si>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</si>
  <si>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</si>
  <si>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</si>
  <si>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</si>
  <si>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</si>
  <si>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</si>
  <si>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</si>
  <si>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</si>
  <si>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</si>
  <si>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</si>
  <si>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</si>
  <si>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</si>
  <si>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</si>
  <si>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</si>
  <si>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</si>
  <si>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</si>
  <si>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</si>
  <si>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</si>
  <si>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</si>
  <si>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</si>
  <si>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</si>
  <si>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</si>
  <si>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</si>
  <si>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</si>
  <si>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</si>
  <si>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</si>
  <si>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</si>
  <si>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</si>
  <si>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</si>
  <si>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</si>
  <si>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</si>
  <si>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</si>
  <si>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</si>
  <si>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</si>
  <si>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</si>
  <si>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</si>
  <si>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</si>
  <si>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</si>
  <si>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</si>
  <si>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</si>
  <si>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</si>
  <si>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</si>
  <si>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</si>
  <si>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</si>
  <si>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</si>
  <si>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</si>
  <si>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</si>
  <si>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</si>
  <si>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</si>
  <si>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</si>
  <si>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</si>
  <si>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</si>
  <si>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</si>
  <si>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</si>
  <si>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</si>
  <si>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</si>
  <si>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</si>
  <si>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</si>
  <si>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</si>
  <si>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</si>
  <si>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</si>
  <si>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</si>
  <si>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</si>
  <si>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</si>
  <si>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</si>
  <si>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</si>
  <si>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</si>
  <si>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</si>
  <si>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</si>
  <si>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</si>
  <si>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</si>
  <si>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</si>
  <si>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</si>
  <si>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</si>
  <si>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</si>
  <si>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</si>
  <si>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</si>
  <si>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</si>
  <si>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</si>
  <si>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</si>
  <si>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</si>
  <si>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</si>
  <si>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</si>
  <si>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</si>
  <si>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</si>
  <si>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</si>
  <si>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</si>
  <si>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</si>
  <si>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</si>
  <si>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</si>
  <si>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</si>
  <si>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</si>
  <si>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</si>
  <si>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</si>
  <si>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</si>
  <si>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</si>
  <si>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</si>
  <si>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</si>
  <si>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</si>
  <si>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</si>
  <si>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</si>
  <si>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</si>
  <si>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</si>
  <si>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</si>
  <si>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</si>
  <si>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</si>
  <si>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</si>
  <si>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</si>
  <si>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</si>
  <si>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</si>
  <si>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</si>
  <si>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</si>
  <si>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</si>
  <si>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</si>
  <si>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</si>
  <si>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</si>
  <si>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</si>
  <si>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</si>
  <si>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</si>
  <si>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</si>
  <si>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</si>
  <si>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</si>
  <si>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</si>
  <si>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</si>
  <si>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</si>
  <si>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</si>
  <si>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</si>
  <si>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</si>
  <si>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</si>
  <si>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</si>
  <si>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</si>
  <si>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</si>
  <si>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</si>
  <si>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</si>
  <si>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</si>
  <si>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</si>
  <si>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</si>
  <si>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</si>
  <si>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</si>
  <si>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</si>
  <si>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</si>
  <si>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</si>
  <si>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</si>
  <si>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</si>
  <si>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</si>
  <si>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</si>
  <si>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</si>
  <si>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</si>
  <si>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</si>
  <si>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</si>
  <si>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</si>
  <si>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</si>
  <si>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</si>
  <si>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</si>
  <si>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</si>
  <si>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</si>
  <si>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</si>
  <si>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</si>
  <si>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</si>
  <si>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</si>
  <si>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</si>
  <si>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</si>
  <si>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</si>
  <si>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</si>
  <si>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</si>
  <si>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</si>
  <si>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</si>
  <si>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</si>
  <si>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</si>
  <si>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</si>
  <si>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</si>
  <si>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</si>
  <si>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</si>
  <si>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</si>
  <si>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</si>
  <si>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</si>
  <si>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</si>
  <si>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</si>
  <si>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</si>
  <si>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</si>
  <si>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</si>
  <si>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</si>
  <si>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</si>
  <si>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</si>
  <si>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</si>
  <si>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</si>
  <si>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</si>
  <si>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</si>
  <si>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</si>
  <si>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</si>
  <si>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</si>
  <si>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</si>
  <si>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</si>
  <si>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</si>
  <si>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</si>
  <si>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</si>
  <si>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</si>
  <si>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</si>
  <si>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</si>
  <si>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</si>
  <si>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</si>
  <si>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</si>
  <si>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</si>
  <si>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</si>
  <si>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</si>
  <si>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</si>
  <si>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</si>
  <si>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</si>
  <si>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</si>
  <si>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</si>
  <si>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</si>
  <si>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</si>
  <si>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</si>
  <si>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</si>
  <si>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</si>
  <si>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</si>
  <si>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</si>
  <si>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</si>
  <si>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</si>
  <si>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</si>
  <si>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</si>
  <si>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</si>
  <si>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</si>
  <si>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</si>
  <si>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</si>
  <si>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</si>
  <si>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</si>
  <si>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</si>
  <si>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</si>
  <si>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</si>
  <si>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</si>
  <si>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</si>
  <si>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</si>
  <si>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</si>
  <si>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</si>
  <si>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</si>
  <si>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</si>
  <si>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</si>
  <si>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</si>
  <si>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</si>
  <si>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</si>
  <si>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</si>
  <si>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</si>
  <si>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</si>
  <si>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</si>
  <si>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</si>
  <si>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</si>
  <si>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</si>
  <si>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</si>
  <si>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</si>
  <si>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</si>
  <si>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</si>
  <si>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</si>
  <si>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</si>
  <si>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</si>
  <si>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</si>
  <si>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</si>
  <si>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</si>
  <si>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</si>
  <si>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</si>
  <si>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</si>
  <si>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</si>
  <si>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</si>
  <si>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</si>
  <si>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</si>
  <si>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</si>
  <si>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</si>
  <si>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</si>
  <si>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</si>
  <si>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</si>
  <si>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</si>
  <si>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</si>
  <si>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</si>
  <si>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</si>
  <si>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</si>
  <si>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</si>
  <si>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</si>
  <si>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</si>
  <si>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</si>
  <si>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</si>
  <si>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</si>
  <si>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</si>
  <si>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</si>
  <si>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</si>
  <si>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</si>
  <si>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</si>
  <si>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</si>
  <si>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</si>
  <si>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</si>
  <si>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</si>
  <si>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</si>
  <si>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</si>
  <si>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</si>
  <si>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</si>
  <si>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</si>
  <si>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</si>
  <si>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</si>
  <si>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</si>
  <si>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</si>
  <si>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</si>
  <si>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</si>
  <si>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</si>
  <si>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</si>
  <si>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</si>
  <si>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</si>
  <si>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</si>
  <si>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</si>
  <si>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</si>
  <si>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</si>
  <si>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</si>
  <si>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</si>
  <si>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</si>
  <si>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</si>
  <si>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</si>
  <si>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</si>
  <si>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</si>
  <si>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</si>
  <si>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</si>
  <si>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</si>
  <si>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</si>
  <si>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</si>
  <si>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</si>
  <si>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</si>
  <si>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</si>
  <si>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</si>
  <si>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</si>
  <si>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</si>
  <si>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</si>
  <si>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</si>
  <si>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</si>
  <si>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</si>
  <si>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</si>
  <si>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</si>
  <si>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</si>
  <si>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</si>
  <si>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</si>
  <si>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</si>
  <si>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</si>
  <si>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</si>
  <si>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</si>
  <si>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</si>
  <si>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</si>
  <si>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</si>
  <si>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</si>
  <si>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</si>
  <si>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</si>
  <si>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</si>
  <si>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</si>
  <si>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</si>
  <si>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</si>
  <si>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</si>
  <si>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</si>
  <si>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</si>
  <si>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</si>
  <si>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</si>
  <si>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</si>
  <si>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</si>
  <si>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</si>
  <si>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</si>
  <si>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</si>
  <si>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</si>
  <si>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</si>
  <si>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</si>
  <si>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</si>
  <si>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</si>
  <si>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</si>
  <si>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</si>
  <si>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</si>
  <si>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</si>
  <si>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</si>
  <si>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</si>
  <si>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</si>
  <si>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</si>
  <si>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</si>
  <si>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</si>
  <si>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</si>
  <si>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</si>
  <si>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</si>
  <si>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</si>
  <si>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</si>
  <si>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</si>
  <si>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</si>
  <si>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</si>
  <si>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</si>
  <si>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</si>
  <si>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</si>
  <si>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</si>
  <si>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</si>
  <si>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</si>
  <si>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</si>
  <si>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</si>
  <si>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</si>
  <si>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</si>
  <si>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</si>
  <si>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</si>
  <si>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</si>
  <si>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</si>
  <si>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</si>
  <si>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</si>
  <si>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</si>
  <si>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</si>
  <si>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</si>
  <si>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</si>
  <si>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</si>
  <si>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</si>
  <si>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</si>
  <si>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</si>
  <si>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</si>
  <si>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</si>
  <si>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</si>
  <si>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</si>
  <si>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</si>
  <si>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</si>
  <si>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</si>
  <si>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</si>
  <si>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</si>
  <si>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</si>
  <si>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</si>
  <si>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</si>
  <si>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</si>
  <si>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</si>
  <si>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</si>
  <si>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</si>
  <si>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</si>
  <si>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</si>
  <si>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</si>
  <si>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</si>
  <si>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</si>
  <si>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</si>
  <si>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</si>
  <si>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</si>
  <si>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</si>
  <si>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</si>
  <si>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</si>
  <si>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</si>
  <si>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</si>
  <si>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</si>
  <si>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</si>
  <si>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</si>
  <si>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</si>
  <si>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</si>
  <si>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</si>
  <si>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</si>
  <si>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</si>
  <si>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</si>
  <si>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</si>
  <si>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</si>
  <si>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</si>
  <si>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</si>
  <si>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</si>
  <si>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</si>
  <si>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</si>
  <si>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</si>
  <si>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</si>
  <si>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</si>
  <si>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</si>
  <si>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</si>
  <si>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</si>
  <si>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</si>
  <si>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</si>
  <si>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</si>
  <si>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</si>
  <si>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</si>
  <si>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</si>
  <si>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</si>
  <si>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</si>
  <si>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</si>
  <si>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</si>
  <si>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</si>
  <si>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</si>
  <si>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</si>
  <si>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</si>
  <si>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</si>
  <si>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</si>
  <si>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</si>
  <si>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</si>
  <si>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</si>
  <si>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</si>
  <si>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</si>
  <si>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</si>
  <si>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</si>
  <si>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</si>
  <si>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</si>
  <si>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</si>
  <si>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</si>
  <si>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</si>
  <si>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</si>
  <si>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</si>
  <si>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</si>
  <si>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</si>
  <si>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</si>
  <si>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</si>
  <si>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</si>
  <si>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</si>
  <si>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</si>
  <si>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</si>
  <si>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</si>
  <si>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</si>
  <si>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</si>
  <si>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</si>
  <si>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</si>
  <si>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</si>
  <si>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</si>
  <si>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</si>
  <si>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</si>
  <si>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</si>
  <si>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</si>
  <si>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</si>
  <si>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</si>
  <si>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</si>
  <si>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</si>
  <si>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</si>
  <si>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</si>
  <si>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</si>
  <si>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</si>
  <si>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</si>
  <si>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</si>
  <si>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</si>
  <si>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</si>
  <si>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</si>
  <si>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</si>
  <si>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</si>
  <si>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</si>
  <si>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</si>
  <si>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</si>
  <si>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</si>
  <si>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</si>
  <si>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</si>
  <si>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</si>
  <si>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</si>
  <si>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</si>
  <si>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</si>
  <si>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</si>
  <si>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</si>
  <si>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</si>
  <si>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</si>
  <si>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</si>
  <si>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</si>
  <si>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</si>
  <si>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</si>
  <si>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</si>
  <si>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</si>
  <si>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</si>
  <si>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</si>
  <si>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</si>
  <si>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</si>
  <si>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</si>
  <si>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</si>
  <si>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</si>
  <si>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</si>
  <si>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</si>
  <si>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</si>
  <si>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</si>
  <si>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</si>
  <si>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</si>
  <si>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</si>
  <si>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</si>
  <si>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</si>
  <si>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</si>
  <si>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</si>
  <si>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</si>
  <si>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</si>
  <si>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</si>
  <si>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</si>
  <si>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</si>
  <si>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</si>
  <si>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</si>
  <si>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</si>
  <si>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</si>
  <si>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</si>
  <si>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</si>
  <si>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</si>
  <si>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</si>
  <si>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</si>
  <si>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</si>
  <si>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</si>
  <si>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</si>
  <si>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</si>
  <si>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</si>
  <si>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</si>
  <si>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</si>
  <si>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</si>
  <si>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</si>
  <si>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</si>
  <si>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</si>
  <si>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</si>
  <si>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</si>
  <si>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</si>
  <si>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</si>
  <si>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</si>
  <si>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</si>
  <si>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</si>
  <si>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</si>
  <si>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</si>
  <si>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</si>
  <si>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</si>
  <si>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</si>
  <si>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</si>
  <si>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</si>
  <si>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</si>
  <si>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</si>
  <si>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</si>
  <si>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</si>
  <si>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</si>
  <si>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</si>
  <si>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</si>
  <si>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</si>
  <si>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</si>
  <si>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</si>
  <si>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</si>
  <si>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</si>
  <si>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</si>
  <si>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</si>
  <si>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</si>
  <si>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</si>
  <si>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</si>
  <si>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</si>
  <si>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</si>
  <si>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</si>
  <si>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</si>
  <si>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</si>
  <si>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</si>
  <si>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</si>
  <si>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</si>
  <si>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</si>
  <si>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</si>
  <si>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</si>
  <si>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</si>
  <si>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</si>
  <si>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</si>
  <si>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</si>
  <si>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</si>
  <si>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</si>
  <si>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</si>
  <si>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</si>
  <si>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</si>
  <si>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</si>
  <si>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</si>
  <si>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</si>
  <si>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</si>
  <si>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</si>
  <si>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</si>
  <si>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</si>
  <si>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</si>
  <si>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</si>
  <si>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</si>
  <si>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</si>
  <si>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</si>
  <si>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</si>
  <si>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</si>
  <si>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</si>
  <si>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</si>
  <si>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</si>
  <si>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</si>
  <si>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</si>
  <si>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</si>
  <si>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</si>
  <si>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</si>
  <si>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</si>
  <si>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</si>
  <si>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</si>
  <si>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</si>
  <si>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</si>
  <si>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</si>
  <si>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</si>
  <si>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</si>
  <si>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</si>
  <si>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</si>
  <si>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</si>
  <si>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</si>
  <si>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</si>
  <si>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</si>
  <si>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</si>
  <si>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</si>
  <si>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</si>
  <si>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</si>
  <si>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</si>
  <si>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</si>
  <si>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</si>
  <si>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</si>
  <si>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</si>
  <si>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</si>
  <si>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</si>
  <si>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</si>
  <si>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</si>
  <si>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</si>
  <si>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</si>
  <si>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</si>
  <si>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</si>
  <si>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</si>
  <si>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</si>
  <si>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</si>
  <si>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</si>
  <si>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</si>
  <si>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</si>
  <si>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</si>
  <si>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</si>
  <si>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</si>
  <si>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</si>
  <si>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</si>
  <si>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</si>
  <si>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</si>
  <si>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</si>
  <si>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</si>
  <si>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</si>
  <si>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</si>
  <si>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</si>
  <si>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</si>
  <si>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</si>
  <si>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</si>
  <si>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</si>
  <si>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</si>
  <si>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</si>
  <si>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</si>
  <si>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</si>
  <si>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</si>
  <si>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</si>
  <si>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</si>
  <si>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</si>
  <si>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</si>
  <si>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</si>
  <si>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</si>
  <si>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</si>
  <si>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</si>
  <si>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</si>
  <si>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</si>
  <si>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</si>
  <si>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</si>
  <si>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</si>
  <si>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</si>
  <si>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</si>
  <si>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</si>
  <si>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</si>
  <si>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</si>
  <si>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</si>
  <si>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</si>
  <si>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</si>
  <si>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</si>
  <si>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</si>
  <si>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</si>
  <si>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</si>
  <si>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</si>
  <si>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</si>
  <si>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</si>
  <si>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</si>
  <si>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</si>
  <si>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</si>
  <si>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</si>
  <si>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</si>
  <si>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</si>
  <si>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</si>
  <si>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</si>
  <si>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</si>
  <si>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</si>
  <si>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</si>
  <si>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</si>
  <si>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</si>
  <si>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</si>
  <si>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</si>
  <si>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</si>
  <si>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</si>
  <si>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</si>
  <si>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</si>
  <si>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</si>
  <si>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</si>
  <si>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</si>
  <si>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</si>
  <si>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</si>
  <si>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</si>
  <si>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</si>
  <si>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</si>
  <si>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</si>
  <si>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</si>
  <si>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</si>
  <si>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</si>
  <si>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</si>
  <si>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</si>
  <si>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</si>
  <si>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</si>
  <si>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</si>
  <si>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</si>
  <si>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</si>
  <si>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</si>
  <si>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</si>
  <si>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</si>
  <si>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</si>
  <si>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</si>
  <si>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</si>
  <si>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</si>
  <si>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</si>
  <si>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</si>
  <si>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</si>
  <si>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</si>
  <si>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</si>
  <si>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</si>
  <si>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</si>
  <si>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</si>
  <si>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</si>
  <si>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</si>
  <si>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</si>
  <si>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</si>
  <si>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</si>
  <si>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</si>
  <si>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</si>
  <si>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</si>
  <si>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</si>
  <si>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</si>
  <si>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</si>
  <si>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</si>
  <si>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</si>
  <si>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</si>
  <si>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</si>
  <si>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</si>
  <si>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</si>
  <si>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</si>
  <si>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</si>
  <si>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</si>
  <si>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</si>
  <si>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</si>
  <si>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</si>
  <si>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</si>
  <si>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</si>
  <si>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</si>
  <si>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</si>
  <si>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</si>
  <si>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</si>
  <si>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</si>
  <si>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</si>
  <si>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</si>
  <si>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</si>
  <si>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</si>
  <si>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</si>
  <si>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</si>
  <si>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</si>
  <si>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</si>
  <si>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</si>
  <si>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</si>
  <si>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</si>
  <si>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</si>
  <si>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</si>
  <si>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</si>
  <si>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</si>
  <si>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</si>
  <si>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</si>
  <si>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</si>
  <si>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</si>
  <si>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</si>
  <si>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</si>
  <si>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</si>
  <si>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</si>
  <si>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</si>
  <si>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</si>
  <si>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</si>
  <si>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</si>
  <si>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</si>
  <si>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</si>
  <si>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</si>
  <si>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</si>
  <si>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</si>
  <si>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</si>
  <si>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</si>
  <si>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</si>
  <si>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</si>
  <si>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</si>
  <si>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</si>
  <si>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</si>
  <si>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</si>
  <si>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</si>
  <si>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</si>
  <si>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</si>
  <si>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</si>
  <si>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</si>
  <si>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</si>
  <si>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</si>
  <si>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</si>
  <si>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</si>
  <si>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</si>
  <si>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</si>
  <si>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</si>
  <si>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</si>
  <si>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</si>
  <si>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</si>
  <si>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</si>
  <si>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</si>
  <si>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</si>
  <si>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</si>
  <si>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</si>
  <si>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</si>
  <si>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</si>
  <si>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</si>
  <si>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</si>
  <si>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</si>
  <si>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</si>
  <si>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</si>
  <si>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</si>
  <si>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</si>
  <si>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</si>
  <si>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</si>
  <si>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</si>
  <si>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</si>
  <si>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</si>
  <si>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</si>
  <si>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</si>
  <si>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</si>
  <si>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</si>
  <si>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</si>
  <si>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</si>
  <si>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</si>
  <si>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</si>
  <si>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</si>
  <si>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</si>
  <si>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</si>
  <si>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</si>
  <si>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</si>
  <si>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</si>
  <si>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</si>
  <si>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</si>
  <si>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</si>
  <si>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</si>
  <si>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</si>
  <si>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</si>
  <si>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</si>
  <si>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</si>
  <si>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</si>
  <si>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</si>
  <si>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</si>
  <si>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</si>
  <si>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</si>
  <si>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</si>
  <si>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</si>
  <si>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</si>
  <si>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</si>
  <si>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</si>
  <si>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</si>
  <si>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</si>
  <si>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</si>
  <si>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</si>
  <si>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</si>
  <si>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</si>
  <si>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</si>
  <si>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</si>
  <si>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</si>
  <si>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</si>
  <si>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</si>
  <si>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</si>
  <si>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</si>
  <si>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</si>
  <si>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</si>
  <si>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</si>
  <si>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</si>
  <si>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</si>
  <si>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</si>
  <si>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</si>
  <si>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</si>
  <si>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</si>
  <si>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</si>
  <si>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</si>
  <si>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</si>
  <si>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</si>
  <si>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</si>
  <si>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</si>
  <si>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</si>
  <si>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</si>
  <si>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</si>
  <si>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</si>
  <si>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</si>
  <si>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</si>
  <si>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</si>
  <si>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</si>
  <si>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</si>
  <si>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</si>
  <si>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</si>
  <si>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</si>
  <si>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</si>
  <si>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</si>
  <si>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</si>
  <si>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</si>
  <si>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</si>
  <si>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</si>
  <si>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</si>
  <si>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</si>
  <si>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</si>
  <si>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</si>
  <si>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</si>
  <si>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</si>
  <si>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</si>
  <si>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</si>
  <si>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</si>
  <si>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</si>
  <si>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</si>
  <si>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</si>
  <si>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</si>
  <si>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</si>
  <si>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</si>
  <si>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</si>
  <si>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</si>
  <si>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</si>
  <si>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</si>
  <si>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</si>
  <si>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</si>
  <si>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</si>
  <si>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</si>
  <si>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</si>
  <si>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</si>
  <si>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</si>
  <si>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</si>
  <si>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</si>
  <si>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</si>
  <si>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</si>
  <si>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</si>
  <si>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</si>
  <si>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</si>
  <si>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</si>
  <si>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</si>
  <si>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</si>
  <si>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</si>
  <si>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</si>
  <si>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</si>
  <si>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</si>
  <si>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</si>
  <si>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</si>
  <si>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</si>
  <si>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</si>
  <si>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</si>
  <si>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</si>
  <si>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</si>
  <si>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</si>
  <si>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</si>
  <si>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</si>
  <si>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</si>
  <si>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</si>
  <si>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</si>
  <si>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</si>
  <si>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</si>
  <si>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</si>
  <si>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</si>
  <si>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</si>
  <si>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</si>
  <si>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</si>
  <si>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</si>
  <si>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</si>
  <si>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</si>
  <si>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</si>
  <si>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</si>
  <si>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</si>
  <si>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</si>
  <si>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</si>
  <si>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</si>
  <si>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</si>
  <si>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</si>
  <si>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</si>
  <si>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</si>
  <si>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</si>
  <si>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</si>
  <si>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</si>
  <si>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</si>
  <si>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</si>
  <si>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</si>
  <si>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</si>
  <si>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</si>
  <si>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</si>
  <si>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</si>
  <si>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</si>
  <si>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</si>
  <si>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</si>
  <si>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</si>
  <si>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</si>
  <si>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</si>
  <si>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</si>
  <si>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</si>
  <si>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</si>
  <si>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</si>
  <si>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</si>
  <si>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</si>
  <si>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</si>
  <si>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</si>
  <si>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</si>
  <si>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</si>
  <si>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</si>
  <si>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</si>
  <si>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</si>
  <si>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</si>
  <si>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</si>
  <si>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</si>
  <si>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</si>
  <si>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</si>
  <si>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</si>
  <si>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</si>
  <si>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</si>
  <si>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</si>
  <si>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</si>
  <si>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</si>
  <si>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</si>
  <si>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</si>
  <si>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</si>
  <si>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</si>
  <si>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</si>
  <si>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</si>
  <si>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</si>
  <si>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</si>
  <si>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</si>
  <si>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</si>
  <si>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</si>
  <si>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</si>
  <si>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</si>
  <si>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</si>
  <si>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</si>
  <si>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</si>
  <si>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</si>
  <si>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</si>
  <si>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</si>
  <si>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</si>
  <si>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</si>
  <si>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</si>
  <si>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</si>
  <si>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</si>
  <si>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</si>
  <si>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</si>
  <si>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</si>
  <si>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</si>
  <si>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</si>
  <si>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</si>
  <si>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</si>
  <si>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</si>
  <si>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</si>
  <si>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</si>
  <si>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</si>
  <si>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</si>
  <si>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</si>
  <si>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</si>
  <si>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</si>
  <si>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</si>
  <si>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</si>
  <si>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</si>
  <si>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</si>
  <si>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</si>
  <si>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</si>
  <si>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</si>
  <si>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</si>
  <si>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</si>
  <si>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</si>
  <si>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</si>
  <si>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</si>
  <si>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</si>
  <si>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</si>
  <si>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</si>
  <si>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</si>
  <si>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</si>
  <si>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</si>
  <si>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</si>
  <si>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</si>
  <si>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</si>
  <si>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</si>
  <si>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</si>
  <si>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</si>
  <si>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</si>
  <si>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</si>
  <si>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</si>
  <si>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</si>
  <si>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</si>
  <si>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</si>
  <si>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</si>
  <si>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</si>
  <si>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</si>
  <si>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</si>
  <si>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</si>
  <si>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</si>
  <si>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</si>
  <si>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</si>
  <si>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</si>
  <si>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</si>
  <si>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</si>
  <si>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</si>
  <si>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</si>
  <si>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</si>
  <si>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</si>
  <si>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</si>
  <si>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</si>
  <si>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</si>
  <si>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</si>
  <si>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</si>
  <si>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</si>
  <si>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</si>
  <si>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</si>
  <si>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</si>
  <si>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</si>
  <si>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</si>
  <si>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</si>
  <si>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</si>
  <si>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</si>
  <si>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</si>
  <si>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</si>
  <si>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</si>
  <si>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</si>
  <si>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</si>
  <si>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</si>
  <si>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</si>
  <si>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</si>
  <si>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</si>
  <si>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</si>
  <si>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</si>
  <si>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</si>
  <si>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</si>
  <si>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</si>
  <si>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</si>
  <si>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</si>
  <si>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</si>
  <si>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</si>
  <si>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</si>
  <si>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</si>
  <si>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</si>
  <si>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</si>
  <si>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</si>
  <si>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</si>
  <si>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</si>
  <si>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</si>
  <si>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</si>
  <si>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</si>
  <si>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</si>
  <si>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</si>
  <si>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</si>
  <si>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</si>
  <si>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</si>
  <si>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</si>
  <si>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</si>
  <si>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</si>
  <si>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</si>
  <si>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</si>
  <si>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</si>
  <si>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</si>
  <si>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</si>
  <si>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</si>
  <si>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</si>
  <si>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</si>
  <si>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</si>
  <si>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</si>
  <si>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</si>
  <si>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</si>
  <si>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</si>
  <si>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</si>
  <si>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</si>
  <si>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</si>
  <si>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</si>
  <si>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</si>
  <si>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</si>
  <si>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</si>
  <si>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</si>
  <si>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</si>
  <si>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</si>
  <si>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</si>
  <si>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</si>
  <si>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</si>
  <si>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</si>
  <si>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</si>
  <si>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</si>
  <si>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</si>
  <si>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</si>
  <si>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</si>
  <si>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</si>
  <si>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</si>
  <si>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</si>
  <si>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</si>
  <si>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</si>
  <si>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</si>
  <si>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</si>
  <si>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</si>
  <si>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</si>
  <si>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</si>
  <si>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</si>
  <si>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</si>
  <si>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</si>
  <si>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</si>
  <si>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</si>
  <si>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</si>
  <si>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</si>
  <si>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</si>
  <si>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</si>
  <si>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</si>
  <si>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</si>
  <si>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</si>
  <si>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</si>
  <si>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</si>
  <si>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</si>
  <si>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</si>
  <si>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</si>
  <si>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</si>
  <si>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</si>
  <si>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</si>
  <si>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</si>
  <si>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</si>
  <si>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</si>
  <si>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</si>
  <si>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</si>
  <si>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</si>
  <si>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</si>
  <si>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</si>
  <si>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</si>
  <si>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</si>
  <si>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</si>
  <si>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</si>
  <si>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</si>
  <si>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</si>
  <si>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</si>
  <si>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</si>
  <si>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</si>
  <si>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</si>
  <si>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</si>
  <si>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</si>
  <si>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</si>
  <si>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</si>
  <si>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</si>
  <si>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</si>
  <si>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</si>
  <si>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</si>
  <si>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</si>
  <si>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</si>
  <si>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</si>
  <si>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</si>
  <si>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</si>
  <si>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</si>
  <si>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</si>
  <si>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</si>
  <si>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</si>
  <si>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</si>
  <si>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</si>
  <si>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</si>
  <si>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</si>
  <si>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</si>
  <si>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</si>
  <si>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</si>
  <si>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</si>
  <si>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</si>
  <si>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</si>
  <si>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</si>
  <si>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</si>
  <si>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</si>
  <si>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</si>
  <si>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</si>
  <si>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</si>
  <si>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</si>
  <si>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</si>
  <si>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</si>
  <si>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</si>
  <si>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</si>
  <si>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</si>
  <si>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</si>
  <si>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</si>
  <si>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</si>
  <si>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</si>
  <si>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</si>
  <si>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</si>
  <si>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</si>
  <si>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</si>
  <si>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</si>
  <si>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</si>
  <si>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</si>
  <si>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</si>
  <si>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</si>
  <si>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</si>
  <si>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</si>
  <si>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</si>
  <si>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</si>
  <si>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</si>
  <si>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</si>
  <si>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</si>
  <si>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</si>
  <si>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</si>
  <si>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</si>
  <si>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</si>
  <si>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</si>
  <si>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</si>
  <si>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</si>
  <si>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</si>
  <si>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</si>
  <si>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</si>
  <si>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</si>
  <si>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</si>
  <si>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</si>
  <si>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</si>
  <si>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</si>
  <si>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</si>
  <si>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</si>
  <si>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</si>
  <si>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</si>
  <si>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</si>
  <si>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</si>
  <si>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</si>
  <si>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</si>
  <si>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</si>
  <si>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</si>
  <si>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</si>
  <si>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</si>
  <si>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</si>
  <si>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</si>
  <si>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</si>
  <si>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</si>
  <si>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</si>
  <si>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</si>
  <si>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</si>
  <si>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</si>
  <si>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</si>
  <si>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</si>
  <si>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</si>
  <si>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</si>
  <si>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</si>
  <si>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</si>
  <si>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</si>
  <si>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</si>
  <si>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</si>
  <si>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</si>
  <si>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</si>
  <si>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</si>
  <si>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</si>
  <si>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</si>
  <si>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</si>
  <si>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</si>
  <si>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</si>
  <si>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</si>
  <si>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</si>
  <si>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</si>
  <si>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</si>
  <si>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</si>
  <si>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</si>
  <si>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</si>
  <si>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</si>
  <si>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</si>
  <si>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</si>
  <si>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</si>
  <si>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</si>
  <si>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</si>
  <si>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</si>
  <si>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</si>
  <si>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</si>
  <si>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</si>
  <si>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</si>
  <si>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</si>
  <si>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</si>
  <si>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</si>
  <si>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</si>
  <si>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</si>
  <si>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</si>
  <si>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</si>
  <si>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</si>
  <si>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</si>
  <si>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</si>
  <si>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</si>
  <si>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</si>
  <si>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</si>
  <si>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</si>
  <si>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</si>
  <si>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</si>
  <si>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</si>
  <si>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</si>
  <si>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</si>
  <si>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</si>
  <si>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</si>
  <si>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</si>
  <si>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</si>
  <si>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</si>
  <si>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</si>
  <si>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</si>
  <si>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</si>
  <si>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</si>
  <si>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</si>
  <si>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</si>
  <si>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</si>
  <si>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</si>
  <si>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</si>
  <si>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</si>
  <si>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</si>
  <si>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</si>
  <si>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</si>
  <si>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</si>
  <si>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</si>
  <si>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</si>
  <si>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</si>
  <si>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</si>
  <si>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</si>
  <si>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</si>
  <si>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</si>
  <si>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</si>
  <si>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</si>
  <si>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</si>
  <si>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</si>
  <si>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</si>
  <si>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</si>
  <si>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</si>
  <si>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</si>
  <si>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</si>
  <si>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</si>
  <si>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</si>
  <si>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</si>
  <si>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</si>
  <si>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</si>
  <si>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</si>
  <si>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</si>
  <si>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</si>
  <si>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</si>
  <si>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</si>
  <si>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</si>
  <si>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</si>
  <si>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</si>
  <si>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</si>
  <si>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</si>
  <si>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</si>
  <si>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</si>
  <si>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</si>
  <si>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</si>
  <si>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</si>
  <si>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</si>
  <si>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</si>
  <si>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</si>
  <si>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</si>
  <si>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</si>
  <si>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</si>
  <si>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</si>
  <si>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</si>
  <si>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</si>
  <si>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</si>
  <si>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</si>
  <si>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</si>
  <si>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</si>
  <si>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</si>
  <si>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</si>
  <si>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</si>
  <si>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</si>
  <si>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</si>
  <si>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</si>
  <si>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</si>
  <si>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</si>
  <si>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</si>
  <si>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</si>
  <si>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</si>
  <si>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</si>
  <si>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</si>
  <si>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</si>
  <si>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</si>
  <si>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</si>
  <si>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</si>
  <si>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</si>
  <si>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</si>
  <si>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</si>
  <si>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</si>
  <si>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</si>
  <si>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</si>
  <si>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</si>
  <si>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</si>
  <si>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</si>
  <si>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</si>
  <si>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</si>
  <si>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</si>
  <si>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</si>
  <si>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</si>
  <si>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</si>
  <si>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</si>
  <si>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</si>
  <si>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</si>
  <si>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</si>
  <si>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</si>
  <si>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</si>
  <si>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</si>
  <si>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</si>
  <si>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</si>
  <si>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</si>
  <si>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</si>
  <si>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</si>
  <si>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</si>
  <si>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</si>
  <si>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</si>
  <si>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</si>
  <si>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</si>
  <si>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</si>
  <si>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</si>
  <si>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</si>
  <si>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</si>
  <si>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</si>
  <si>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</si>
  <si>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</si>
  <si>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</si>
  <si>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</si>
  <si>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</si>
  <si>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</si>
  <si>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</si>
  <si>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</si>
  <si>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</si>
  <si>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</si>
  <si>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</si>
  <si>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</si>
  <si>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</si>
  <si>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</si>
  <si>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</si>
  <si>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</si>
  <si>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</si>
  <si>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</si>
  <si>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</si>
  <si>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</si>
  <si>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</si>
  <si>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</si>
  <si>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</si>
  <si>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</si>
  <si>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</si>
  <si>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</si>
  <si>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</si>
  <si>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</si>
  <si>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</si>
  <si>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</si>
  <si>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</si>
  <si>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</si>
  <si>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</si>
  <si>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</si>
  <si>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</si>
  <si>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</si>
  <si>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</si>
  <si>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</si>
  <si>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</si>
  <si>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</si>
  <si>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</si>
  <si>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</si>
  <si>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</si>
  <si>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</si>
  <si>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</si>
  <si>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</si>
  <si>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</si>
  <si>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</si>
  <si>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</si>
  <si>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</si>
  <si>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</si>
  <si>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</si>
  <si>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</si>
  <si>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</si>
  <si>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</si>
  <si>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</si>
  <si>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</si>
  <si>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</si>
  <si>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</si>
  <si>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</si>
  <si>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</si>
  <si>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</si>
  <si>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</si>
  <si>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</si>
  <si>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</si>
  <si>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</si>
  <si>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</si>
  <si>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</si>
  <si>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</si>
  <si>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</si>
  <si>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</si>
  <si>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</si>
  <si>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</si>
  <si>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</si>
  <si>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</si>
  <si>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</si>
  <si>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</si>
  <si>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</si>
  <si>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</si>
  <si>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</si>
  <si>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</si>
  <si>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</si>
  <si>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</si>
  <si>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</si>
  <si>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</si>
  <si>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</si>
  <si>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</si>
  <si>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</si>
  <si>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</si>
  <si>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</si>
  <si>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</si>
  <si>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</si>
  <si>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</si>
  <si>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</si>
  <si>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</si>
  <si>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</si>
  <si>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</si>
  <si>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</si>
  <si>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</si>
  <si>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</si>
  <si>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</si>
  <si>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</si>
  <si>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</si>
  <si>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</si>
  <si>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</si>
  <si>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</si>
  <si>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</si>
  <si>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</si>
  <si>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</si>
  <si>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</si>
  <si>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</si>
  <si>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</si>
  <si>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</si>
  <si>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</si>
  <si>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</si>
  <si>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</si>
  <si>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</si>
  <si>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</si>
  <si>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</si>
  <si>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</si>
  <si>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</si>
  <si>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</si>
  <si>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</si>
  <si>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</si>
  <si>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</si>
  <si>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</si>
  <si>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</si>
  <si>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</si>
  <si>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</si>
  <si>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</si>
  <si>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</si>
  <si>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</si>
  <si>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</si>
  <si>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</si>
  <si>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</si>
  <si>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</si>
  <si>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</si>
  <si>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</si>
  <si>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</si>
  <si>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</si>
  <si>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</si>
  <si>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</si>
  <si>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</si>
  <si>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</si>
  <si>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</si>
  <si>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</si>
  <si>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</si>
  <si>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</si>
  <si>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</si>
  <si>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</si>
  <si>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</si>
  <si>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</si>
  <si>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</si>
  <si>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</si>
  <si>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</si>
  <si>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</si>
  <si>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</si>
  <si>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</si>
  <si>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</si>
  <si>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</si>
  <si>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</si>
  <si>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</si>
  <si>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</si>
  <si>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</si>
  <si>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</si>
  <si>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</si>
  <si>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</si>
  <si>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</si>
  <si>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</si>
  <si>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</si>
  <si>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</si>
  <si>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</si>
  <si>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</si>
  <si>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</si>
  <si>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</si>
  <si>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</si>
  <si>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</si>
  <si>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</si>
  <si>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</si>
  <si>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</si>
  <si>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</si>
  <si>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</si>
  <si>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</si>
  <si>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</si>
  <si>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</si>
  <si>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</si>
  <si>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</si>
  <si>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</si>
  <si>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</si>
  <si>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</si>
  <si>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</si>
  <si>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</si>
  <si>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</si>
  <si>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</si>
  <si>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</si>
  <si>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</si>
  <si>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</si>
  <si>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</si>
  <si>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</si>
  <si>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</si>
  <si>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</si>
  <si>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</si>
  <si>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</si>
  <si>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</si>
  <si>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</si>
  <si>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</si>
  <si>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</si>
  <si>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</si>
  <si>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</si>
  <si>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</si>
  <si>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</si>
  <si>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</si>
  <si>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</si>
  <si>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</si>
  <si>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</si>
  <si>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</si>
  <si>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</si>
  <si>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</si>
  <si>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</si>
  <si>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</si>
  <si>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</si>
  <si>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</si>
  <si>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</si>
  <si>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</si>
  <si>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</si>
  <si>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</si>
  <si>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</si>
  <si>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</si>
  <si>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</si>
  <si>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</si>
  <si>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</si>
  <si>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</si>
  <si>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</si>
  <si>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</si>
  <si>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</si>
  <si>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</si>
  <si>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</si>
  <si>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</si>
  <si>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</si>
  <si>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</si>
  <si>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</si>
  <si>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</si>
  <si>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</si>
  <si>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</si>
  <si>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</si>
  <si>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</si>
  <si>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</si>
  <si>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</si>
  <si>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</si>
  <si>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</si>
  <si>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</si>
  <si>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</si>
  <si>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</si>
  <si>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</si>
  <si>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</si>
  <si>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</si>
  <si>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</si>
  <si>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</si>
  <si>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</si>
  <si>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</si>
  <si>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</si>
  <si>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</si>
  <si>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</si>
  <si>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</si>
  <si>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</si>
  <si>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</si>
  <si>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</si>
  <si>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</si>
  <si>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</si>
  <si>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</si>
  <si>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</si>
  <si>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</si>
  <si>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</si>
  <si>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</si>
  <si>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</si>
  <si>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</si>
  <si>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</si>
  <si>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</si>
  <si>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</si>
  <si>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</si>
  <si>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</si>
  <si>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</si>
  <si>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</si>
  <si>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</si>
  <si>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</si>
  <si>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</si>
  <si>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</si>
  <si>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</si>
  <si>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</si>
  <si>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</si>
  <si>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</si>
  <si>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</si>
  <si>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</si>
  <si>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</si>
  <si>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</si>
  <si>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</si>
  <si>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</si>
  <si>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</si>
  <si>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</si>
  <si>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</si>
  <si>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</si>
  <si>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</si>
  <si>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</si>
  <si>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</si>
  <si>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</si>
  <si>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</si>
  <si>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</si>
  <si>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</si>
  <si>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</si>
  <si>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</si>
  <si>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</si>
  <si>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</si>
  <si>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</si>
  <si>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</si>
  <si>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</si>
  <si>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</si>
  <si>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</si>
  <si>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</si>
  <si>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</si>
  <si>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</si>
  <si>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</si>
  <si>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</si>
  <si>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</si>
  <si>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</si>
  <si>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</si>
  <si>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</si>
  <si>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</si>
  <si>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</si>
  <si>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</si>
  <si>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</si>
  <si>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</si>
  <si>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</si>
  <si>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</si>
  <si>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</si>
  <si>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</si>
  <si>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</si>
  <si>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</si>
  <si>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</si>
  <si>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</si>
  <si>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</si>
  <si>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</si>
  <si>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</si>
  <si>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</si>
  <si>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</si>
  <si>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</si>
  <si>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</si>
  <si>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</si>
  <si>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</si>
  <si>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</si>
  <si>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</si>
  <si>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</si>
  <si>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</si>
  <si>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</si>
  <si>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</si>
  <si>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</si>
  <si>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</si>
  <si>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</si>
  <si>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</si>
  <si>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</si>
  <si>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</si>
  <si>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</si>
  <si>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</si>
  <si>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</si>
  <si>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</si>
  <si>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</si>
  <si>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</si>
  <si>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</si>
  <si>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</si>
  <si>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</si>
  <si>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</si>
  <si>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</si>
  <si>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</si>
  <si>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</si>
  <si>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</si>
  <si>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</si>
  <si>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</si>
  <si>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</si>
  <si>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</si>
  <si>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</si>
  <si>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</si>
  <si>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</si>
  <si>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</si>
  <si>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</si>
  <si>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</si>
  <si>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</si>
  <si>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</si>
  <si>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</si>
  <si>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</si>
  <si>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</si>
  <si>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</si>
  <si>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</si>
  <si>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</si>
  <si>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</si>
  <si>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</si>
  <si>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</si>
  <si>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</si>
  <si>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</si>
  <si>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</si>
  <si>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</si>
  <si>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</si>
  <si>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</si>
  <si>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</si>
  <si>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</si>
  <si>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</si>
  <si>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</si>
  <si>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</si>
  <si>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</si>
  <si>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</si>
  <si>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</si>
  <si>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</si>
  <si>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</si>
  <si>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</si>
  <si>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</si>
  <si>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</si>
  <si>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</si>
  <si>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</si>
  <si>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</si>
  <si>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</si>
  <si>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</si>
  <si>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</si>
  <si>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</si>
  <si>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</si>
  <si>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</si>
  <si>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</si>
  <si>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</si>
  <si>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</si>
  <si>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</si>
  <si>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</si>
  <si>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</si>
  <si>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</si>
  <si>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</si>
  <si>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</si>
  <si>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</si>
  <si>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</si>
  <si>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</si>
  <si>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</si>
  <si>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</si>
  <si>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</si>
  <si>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</si>
  <si>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</si>
  <si>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</si>
  <si>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</si>
  <si>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</si>
  <si>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</si>
  <si>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</si>
  <si>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</si>
  <si>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</si>
  <si>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</si>
  <si>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</si>
  <si>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</si>
  <si>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</si>
  <si>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</si>
  <si>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</si>
  <si>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</si>
  <si>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</si>
  <si>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</si>
  <si>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</si>
  <si>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</si>
  <si>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</si>
  <si>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</si>
  <si>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</si>
  <si>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</si>
  <si>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</si>
  <si>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</si>
  <si>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</si>
  <si>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</si>
  <si>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</si>
  <si>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</si>
  <si>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</si>
  <si>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</si>
  <si>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</si>
  <si>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</si>
  <si>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</si>
  <si>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</si>
  <si>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</si>
  <si>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</si>
  <si>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</si>
  <si>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</si>
  <si>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</si>
  <si>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</si>
  <si>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</si>
  <si>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</si>
  <si>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</si>
  <si>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</si>
  <si>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</si>
  <si>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</si>
  <si>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</si>
  <si>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</si>
  <si>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</si>
  <si>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</si>
  <si>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</si>
  <si>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</si>
  <si>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</si>
  <si>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</si>
  <si>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</si>
  <si>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</si>
  <si>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</si>
  <si>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</si>
  <si>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</si>
  <si>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</si>
  <si>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</si>
  <si>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</si>
  <si>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</si>
  <si>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</si>
  <si>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</si>
  <si>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</si>
  <si>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</si>
  <si>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</si>
  <si>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</si>
  <si>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</si>
  <si>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</si>
  <si>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</si>
  <si>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</si>
  <si>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</si>
  <si>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</si>
  <si>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</si>
  <si>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</si>
  <si>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</si>
  <si>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</si>
  <si>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</si>
  <si>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</si>
  <si>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</si>
  <si>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</si>
  <si>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</si>
  <si>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</si>
  <si>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</si>
  <si>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</si>
  <si>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</si>
  <si>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</si>
  <si>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</si>
  <si>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</si>
  <si>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</si>
  <si>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</si>
  <si>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</si>
  <si>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</si>
  <si>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</si>
  <si>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</si>
  <si>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</si>
  <si>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</si>
  <si>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</si>
  <si>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</si>
  <si>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</si>
  <si>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</si>
  <si>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</si>
  <si>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</si>
  <si>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</si>
  <si>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</si>
  <si>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</si>
  <si>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</si>
  <si>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</si>
  <si>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</si>
  <si>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</si>
  <si>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</si>
  <si>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</si>
  <si>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</si>
  <si>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</si>
  <si>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</si>
  <si>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</si>
  <si>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</si>
  <si>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</si>
  <si>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</si>
  <si>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</si>
  <si>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</si>
  <si>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</si>
  <si>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</si>
  <si>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</si>
  <si>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</si>
  <si>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</si>
  <si>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</si>
  <si>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</si>
  <si>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</si>
  <si>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</si>
  <si>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</si>
  <si>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</si>
  <si>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</si>
  <si>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</si>
  <si>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</si>
  <si>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</si>
  <si>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</si>
  <si>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</si>
  <si>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</si>
  <si>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</si>
  <si>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</si>
  <si>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</si>
  <si>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</si>
  <si>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</si>
  <si>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</si>
  <si>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</si>
  <si>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</si>
  <si>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</si>
  <si>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</si>
  <si>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</si>
  <si>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</si>
  <si>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</si>
  <si>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</si>
  <si>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</si>
  <si>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</si>
  <si>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</si>
  <si>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</si>
  <si>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</si>
  <si>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</si>
  <si>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</si>
  <si>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</si>
  <si>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</si>
  <si>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</si>
  <si>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</si>
  <si>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</si>
  <si>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</si>
  <si>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</si>
  <si>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</si>
  <si>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</si>
  <si>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</si>
  <si>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</si>
  <si>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</si>
  <si>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</si>
  <si>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</si>
  <si>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</si>
  <si>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</si>
  <si>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</si>
  <si>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</si>
  <si>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</si>
  <si>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</si>
  <si>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</si>
  <si>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</si>
  <si>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</si>
  <si>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</si>
  <si>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</si>
  <si>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</si>
  <si>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</si>
  <si>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</si>
  <si>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</si>
  <si>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</si>
  <si>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</si>
  <si>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</si>
  <si>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</si>
  <si>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</si>
  <si>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</si>
  <si>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</si>
  <si>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</si>
  <si>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</si>
  <si>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</si>
  <si>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</si>
  <si>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</si>
  <si>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</si>
  <si>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</si>
  <si>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</si>
  <si>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</si>
  <si>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</si>
  <si>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</si>
  <si>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</si>
  <si>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</si>
  <si>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</si>
  <si>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</si>
  <si>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</si>
  <si>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</si>
  <si>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</si>
  <si>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</si>
  <si>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</si>
  <si>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</si>
  <si>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</si>
  <si>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</si>
  <si>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</si>
  <si>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</si>
  <si>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</si>
  <si>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</si>
  <si>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</si>
  <si>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</si>
  <si>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</si>
  <si>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</si>
  <si>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</si>
  <si>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</si>
  <si>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</si>
  <si>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</si>
  <si>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</si>
  <si>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</si>
  <si>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</si>
  <si>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</si>
  <si>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</si>
  <si>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</si>
  <si>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</si>
  <si>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</si>
  <si>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</si>
  <si>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</si>
  <si>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</si>
  <si>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</si>
  <si>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</si>
  <si>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</si>
  <si>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</si>
  <si>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</si>
  <si>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</si>
  <si>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</si>
  <si>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</si>
  <si>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</si>
  <si>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</si>
  <si>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</si>
  <si>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</si>
  <si>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</si>
  <si>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</si>
  <si>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</si>
  <si>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</si>
  <si>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</si>
  <si>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</si>
  <si>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</si>
  <si>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</si>
  <si>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</si>
  <si>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</si>
  <si>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</si>
  <si>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</si>
  <si>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</si>
  <si>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</si>
  <si>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</si>
  <si>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</si>
  <si>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</si>
  <si>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</si>
  <si>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</si>
  <si>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</si>
  <si>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</si>
  <si>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</si>
  <si>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</si>
  <si>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</si>
  <si>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</si>
  <si>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</si>
  <si>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</si>
  <si>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</si>
  <si>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</si>
  <si>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</si>
  <si>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</si>
  <si>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</si>
  <si>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</si>
  <si>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</si>
  <si>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</si>
  <si>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</si>
  <si>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</si>
  <si>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</si>
  <si>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</si>
  <si>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</si>
  <si>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</si>
  <si>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</si>
  <si>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</si>
  <si>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</si>
  <si>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</si>
  <si>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</si>
  <si>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</si>
  <si>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</si>
  <si>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</si>
  <si>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</si>
  <si>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</si>
  <si>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</si>
  <si>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</si>
  <si>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</si>
  <si>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</si>
  <si>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</si>
  <si>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</si>
  <si>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</si>
  <si>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</si>
  <si>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</si>
  <si>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</si>
  <si>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</si>
  <si>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</si>
  <si>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</si>
  <si>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</si>
  <si>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</si>
  <si>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</si>
  <si>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</si>
  <si>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</si>
  <si>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</si>
  <si>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</si>
  <si>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</si>
  <si>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</si>
  <si>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</si>
  <si>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</si>
  <si>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</si>
  <si>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</si>
  <si>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</si>
  <si>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</si>
  <si>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</si>
  <si>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</si>
  <si>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</si>
  <si>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</si>
  <si>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</si>
  <si>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</si>
  <si>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</si>
  <si>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</si>
  <si>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</si>
  <si>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</si>
  <si>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</si>
  <si>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</si>
  <si>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</si>
  <si>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</si>
  <si>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</si>
  <si>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</si>
  <si>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</si>
  <si>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</si>
  <si>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</si>
  <si>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</si>
  <si>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</si>
  <si>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</si>
  <si>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</si>
  <si>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</si>
  <si>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</si>
  <si>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</si>
  <si>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</si>
  <si>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</si>
  <si>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</si>
  <si>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</si>
  <si>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</si>
  <si>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</si>
  <si>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</si>
  <si>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</si>
  <si>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</si>
  <si>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</si>
  <si>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</si>
  <si>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</si>
  <si>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</si>
  <si>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</si>
  <si>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</si>
  <si>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</si>
  <si>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</si>
  <si>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</si>
  <si>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</si>
  <si>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</si>
  <si>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</si>
  <si>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</si>
  <si>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</si>
  <si>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</si>
  <si>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</si>
  <si>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</si>
  <si>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</si>
  <si>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</si>
  <si>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</si>
  <si>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</si>
  <si>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</si>
  <si>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</si>
  <si>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</si>
  <si>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</si>
  <si>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</si>
  <si>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</si>
  <si>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</si>
  <si>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</si>
  <si>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</si>
  <si>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</si>
  <si>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</si>
  <si>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</si>
  <si>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</si>
  <si>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</si>
  <si>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</si>
  <si>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</si>
  <si>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</si>
  <si>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</si>
  <si>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</si>
  <si>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</si>
  <si>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</si>
  <si>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</si>
  <si>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</si>
  <si>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</si>
  <si>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</si>
  <si>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</si>
  <si>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</si>
  <si>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</si>
  <si>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</si>
  <si>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</si>
  <si>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</si>
  <si>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</si>
  <si>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</si>
  <si>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</si>
  <si>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</si>
  <si>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</si>
  <si>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</si>
  <si>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</si>
  <si>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</si>
  <si>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</si>
  <si>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</si>
  <si>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</si>
  <si>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</si>
  <si>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</si>
  <si>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</si>
  <si>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</si>
  <si>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</si>
  <si>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</si>
  <si>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</si>
  <si>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</si>
  <si>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</si>
  <si>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</si>
  <si>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</si>
  <si>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</si>
  <si>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</si>
  <si>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</si>
  <si>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</si>
  <si>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</si>
  <si>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</si>
  <si>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</si>
  <si>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</si>
  <si>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</si>
  <si>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</si>
  <si>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</si>
  <si>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</si>
  <si>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</si>
  <si>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</si>
  <si>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</si>
  <si>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</si>
  <si>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</si>
  <si>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</si>
  <si>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</si>
  <si>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</si>
  <si>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</si>
  <si>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</si>
  <si>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</si>
  <si>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</si>
  <si>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</si>
  <si>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</si>
  <si>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</si>
  <si>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</si>
  <si>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</si>
  <si>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</si>
  <si>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</si>
  <si>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</si>
  <si>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</si>
  <si>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</si>
  <si>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</si>
  <si>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</si>
  <si>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</si>
  <si>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</si>
  <si>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</si>
  <si>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</si>
  <si>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</si>
  <si>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</si>
  <si>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</si>
  <si>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</si>
  <si>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</si>
  <si>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</si>
  <si>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</si>
  <si>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</si>
  <si>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</si>
  <si>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</si>
  <si>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</si>
  <si>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</si>
  <si>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</si>
  <si>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</si>
  <si>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</si>
  <si>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</si>
  <si>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</si>
  <si>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</si>
  <si>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</si>
  <si>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</si>
  <si>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</si>
  <si>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</si>
  <si>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</si>
  <si>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</si>
  <si>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</si>
  <si>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</si>
  <si>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</si>
  <si>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</si>
  <si>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</si>
  <si>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</si>
  <si>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</si>
  <si>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</si>
  <si>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</si>
  <si>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</si>
  <si>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</si>
  <si>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</si>
  <si>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</si>
  <si>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</si>
  <si>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</si>
  <si>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</si>
  <si>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</si>
  <si>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</si>
  <si>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</si>
  <si>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</si>
  <si>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</si>
  <si>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</si>
  <si>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</si>
  <si>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</si>
  <si>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</si>
  <si>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</si>
  <si>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</si>
  <si>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</si>
  <si>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</si>
  <si>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</si>
  <si>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</si>
  <si>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</si>
  <si>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</si>
  <si>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</si>
  <si>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</si>
  <si>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</si>
  <si>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</si>
  <si>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</si>
  <si>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</si>
  <si>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</si>
  <si>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</si>
  <si>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</si>
  <si>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</si>
  <si>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</si>
  <si>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</si>
  <si>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</si>
  <si>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</si>
  <si>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</si>
  <si>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</si>
  <si>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</si>
  <si>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</si>
  <si>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</si>
  <si>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</si>
  <si>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</si>
  <si>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</si>
  <si>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</si>
  <si>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</si>
  <si>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</si>
  <si>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</si>
  <si>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</si>
  <si>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</si>
  <si>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</si>
  <si>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</si>
  <si>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</si>
  <si>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</si>
  <si>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</si>
  <si>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</si>
  <si>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</si>
  <si>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</si>
  <si>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</si>
  <si>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</si>
  <si>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</si>
  <si>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</si>
  <si>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</si>
  <si>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</si>
  <si>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</si>
  <si>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</si>
  <si>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</si>
  <si>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</si>
  <si>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</si>
  <si>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</si>
  <si>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</si>
  <si>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</si>
  <si>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</si>
  <si>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</si>
  <si>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</si>
  <si>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</si>
  <si>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</si>
  <si>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</si>
  <si>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</si>
  <si>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</si>
  <si>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</si>
  <si>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</si>
  <si>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</si>
  <si>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</si>
  <si>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</si>
  <si>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</si>
  <si>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</si>
  <si>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</si>
  <si>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</si>
  <si>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</si>
  <si>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</si>
  <si>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</si>
  <si>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</si>
  <si>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</si>
  <si>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</si>
  <si>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</si>
  <si>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</si>
  <si>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</si>
  <si>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</si>
  <si>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</si>
  <si>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</si>
  <si>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</si>
  <si>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</si>
  <si>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</si>
  <si>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</si>
  <si>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</si>
  <si>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</si>
  <si>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</si>
  <si>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</si>
  <si>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</si>
  <si>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</si>
  <si>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</si>
  <si>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</si>
  <si>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</si>
  <si>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</si>
  <si>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</si>
  <si>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</si>
  <si>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</si>
  <si>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</si>
  <si>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</si>
  <si>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</si>
  <si>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</si>
  <si>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</si>
  <si>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</si>
  <si>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</si>
  <si>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</si>
  <si>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</si>
  <si>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</si>
  <si>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</si>
  <si>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</si>
  <si>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</si>
  <si>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</si>
  <si>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</si>
  <si>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</si>
  <si>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</si>
  <si>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</si>
  <si>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</si>
  <si>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</si>
  <si>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</si>
  <si>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</si>
  <si>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</si>
  <si>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</si>
  <si>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</si>
  <si>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</si>
  <si>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</si>
  <si>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</si>
  <si>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</si>
  <si>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</si>
  <si>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</si>
  <si>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</si>
  <si>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</si>
  <si>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</si>
  <si>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</si>
  <si>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</si>
  <si>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</si>
  <si>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</si>
  <si>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</si>
  <si>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</si>
  <si>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</si>
  <si>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</si>
  <si>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</si>
  <si>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</si>
  <si>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</si>
  <si>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</si>
  <si>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</si>
  <si>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</si>
  <si>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</si>
  <si>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</si>
  <si>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</si>
  <si>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</si>
  <si>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</si>
  <si>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</si>
  <si>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</si>
  <si>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</si>
  <si>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</si>
  <si>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</si>
  <si>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</si>
  <si>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</si>
  <si>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</si>
  <si>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</si>
  <si>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</si>
  <si>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</si>
  <si>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</si>
  <si>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</si>
  <si>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</si>
  <si>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</si>
  <si>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</si>
  <si>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</si>
  <si>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</si>
  <si>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</si>
  <si>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</si>
  <si>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</si>
  <si>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</si>
  <si>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</si>
  <si>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</si>
  <si>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</si>
  <si>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</si>
  <si>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</si>
  <si>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</si>
  <si>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</si>
  <si>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</si>
  <si>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</si>
  <si>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</si>
  <si>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</si>
  <si>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</si>
  <si>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</si>
  <si>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</si>
  <si>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</si>
  <si>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</si>
  <si>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</si>
  <si>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</si>
  <si>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</si>
  <si>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</si>
  <si>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</si>
  <si>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</si>
  <si>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</si>
  <si>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</si>
  <si>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</si>
  <si>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</si>
  <si>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</si>
  <si>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</si>
  <si>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</si>
  <si>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</si>
  <si>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</si>
  <si>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</si>
  <si>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</si>
  <si>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</si>
  <si>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</si>
  <si>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</si>
  <si>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</si>
  <si>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</si>
  <si>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</si>
  <si>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</si>
  <si>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</si>
  <si>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</si>
  <si>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</si>
  <si>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</si>
  <si>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</si>
  <si>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</si>
  <si>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</si>
  <si>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</si>
  <si>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</si>
  <si>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</si>
  <si>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</si>
  <si>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</si>
  <si>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</si>
  <si>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</si>
  <si>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</si>
  <si>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</si>
  <si>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</si>
  <si>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</si>
  <si>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</si>
  <si>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</si>
  <si>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</si>
  <si>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</si>
  <si>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</si>
  <si>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</si>
  <si>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</si>
  <si>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</si>
  <si>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</si>
  <si>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</si>
  <si>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</si>
  <si>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</si>
  <si>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</si>
  <si>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</si>
  <si>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</si>
  <si>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</si>
  <si>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</si>
  <si>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</si>
  <si>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</si>
  <si>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</si>
  <si>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</si>
  <si>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</si>
  <si>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</si>
  <si>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</si>
  <si>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</si>
  <si>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</si>
  <si>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</si>
  <si>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</si>
  <si>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</si>
  <si>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</si>
  <si>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</si>
  <si>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</si>
  <si>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</si>
  <si>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</si>
  <si>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</si>
  <si>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</si>
  <si>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</si>
  <si>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</si>
  <si>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</si>
  <si>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</si>
  <si>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</si>
  <si>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</si>
  <si>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</si>
  <si>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</si>
  <si>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</si>
  <si>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</si>
  <si>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</si>
  <si>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</si>
  <si>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</si>
  <si>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</si>
  <si>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</si>
  <si>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</si>
  <si>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</si>
  <si>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</si>
  <si>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</si>
  <si>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</si>
  <si>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</si>
  <si>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</si>
  <si>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</si>
  <si>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</si>
  <si>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</si>
  <si>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</si>
  <si>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</si>
  <si>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</si>
  <si>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</si>
  <si>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</si>
  <si>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</si>
  <si>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</si>
  <si>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</si>
  <si>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</si>
  <si>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</si>
  <si>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</si>
  <si>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</si>
  <si>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</si>
  <si>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</si>
  <si>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</si>
  <si>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</si>
  <si>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</si>
  <si>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</si>
  <si>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</si>
  <si>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</si>
  <si>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</si>
  <si>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</si>
  <si>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</si>
  <si>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</si>
  <si>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</si>
  <si>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</si>
  <si>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</si>
  <si>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</si>
  <si>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</si>
  <si>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</si>
  <si>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</si>
  <si>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</si>
  <si>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</si>
  <si>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</si>
  <si>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</si>
  <si>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</si>
  <si>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</si>
  <si>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</si>
  <si>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</si>
  <si>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</si>
  <si>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</si>
  <si>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</si>
  <si>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</si>
  <si>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</si>
  <si>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</si>
  <si>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</si>
  <si>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</si>
  <si>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</si>
  <si>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</si>
  <si>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</si>
  <si>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</si>
  <si>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</si>
  <si>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</si>
  <si>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</si>
  <si>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</si>
  <si>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</si>
  <si>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</si>
  <si>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</si>
  <si>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</si>
  <si>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</si>
  <si>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</si>
  <si>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</si>
  <si>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</si>
  <si>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</si>
  <si>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</si>
  <si>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</si>
  <si>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</si>
  <si>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</si>
  <si>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</si>
  <si>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</si>
  <si>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</si>
  <si>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</si>
  <si>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</si>
  <si>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</si>
  <si>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</si>
  <si>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</si>
  <si>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</si>
  <si>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</si>
  <si>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</si>
  <si>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</si>
  <si>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</si>
  <si>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</si>
  <si>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</si>
  <si>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</si>
  <si>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</si>
  <si>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</si>
  <si>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</si>
  <si>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</si>
  <si>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</si>
  <si>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</si>
  <si>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</si>
  <si>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</si>
  <si>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</si>
  <si>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</si>
  <si>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</si>
  <si>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</si>
  <si>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</si>
  <si>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</si>
  <si>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</si>
  <si>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</si>
  <si>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</si>
  <si>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</si>
  <si>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</si>
  <si>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</si>
  <si>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</si>
  <si>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</si>
  <si>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</si>
  <si>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</si>
  <si>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</si>
  <si>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</si>
  <si>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</si>
  <si>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</si>
  <si>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</si>
  <si>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</si>
  <si>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</si>
  <si>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</si>
  <si>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</si>
  <si>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</si>
  <si>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</si>
  <si>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</si>
  <si>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</si>
  <si>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</si>
  <si>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</si>
  <si>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</si>
  <si>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</si>
  <si>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</si>
  <si>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</si>
  <si>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</si>
  <si>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</si>
  <si>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</si>
  <si>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</si>
  <si>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</si>
  <si>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</si>
  <si>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</si>
  <si>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</si>
  <si>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</si>
  <si>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</si>
  <si>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</si>
  <si>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</si>
  <si>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</si>
  <si>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</si>
  <si>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</si>
  <si>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</si>
  <si>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</si>
  <si>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</si>
  <si>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</si>
  <si>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</si>
  <si>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</si>
  <si>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</si>
  <si>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</si>
  <si>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</si>
  <si>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</si>
  <si>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</si>
  <si>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</si>
  <si>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</si>
  <si>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</si>
  <si>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</si>
  <si>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</si>
  <si>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</si>
  <si>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</si>
  <si>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</si>
  <si>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</si>
  <si>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</si>
  <si>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</si>
  <si>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</si>
  <si>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</si>
  <si>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</si>
  <si>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</si>
  <si>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</si>
  <si>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</si>
  <si>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</si>
  <si>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</si>
  <si>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</si>
  <si>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</si>
  <si>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</si>
  <si>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</si>
  <si>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</si>
  <si>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</si>
  <si>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</si>
  <si>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</si>
  <si>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</si>
  <si>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</si>
  <si>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</si>
  <si>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</si>
  <si>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</si>
  <si>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</si>
  <si>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</si>
  <si>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</si>
  <si>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</si>
  <si>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</si>
  <si>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</si>
  <si>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</si>
  <si>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</si>
  <si>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</si>
  <si>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</si>
  <si>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</si>
  <si>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</si>
  <si>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</si>
  <si>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</si>
  <si>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</si>
  <si>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</si>
  <si>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</si>
  <si>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</si>
  <si>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</si>
  <si>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</si>
  <si>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</si>
  <si>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</si>
  <si>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</si>
  <si>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</si>
  <si>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</si>
  <si>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</si>
  <si>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</si>
  <si>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</si>
  <si>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</si>
  <si>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</si>
  <si>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</si>
  <si>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</si>
  <si>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</si>
  <si>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</si>
  <si>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</si>
  <si>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</si>
  <si>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</si>
  <si>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</si>
  <si>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</si>
  <si>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</si>
  <si>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</si>
  <si>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</si>
  <si>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</si>
  <si>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</si>
  <si>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</si>
  <si>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</si>
  <si>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</si>
  <si>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</si>
  <si>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</si>
  <si>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</si>
  <si>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</si>
  <si>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</si>
  <si>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</si>
  <si>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</si>
  <si>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</si>
  <si>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</si>
  <si>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</si>
  <si>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</si>
  <si>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</si>
  <si>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</si>
  <si>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</si>
  <si>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</si>
  <si>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</si>
  <si>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</si>
  <si>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</si>
  <si>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</si>
  <si>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</si>
  <si>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</si>
  <si>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</si>
  <si>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</si>
  <si>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</si>
  <si>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</si>
  <si>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</si>
  <si>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</si>
  <si>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</si>
  <si>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</si>
  <si>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</si>
  <si>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</si>
  <si>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</si>
  <si>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</si>
  <si>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</si>
  <si>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</si>
  <si>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</si>
  <si>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</si>
  <si>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</si>
  <si>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</si>
  <si>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</si>
  <si>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</si>
  <si>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</si>
  <si>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</si>
  <si>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</si>
  <si>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</si>
  <si>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</si>
  <si>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</si>
  <si>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</si>
  <si>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</si>
  <si>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</si>
  <si>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</si>
  <si>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</si>
  <si>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</si>
  <si>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</si>
  <si>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</si>
  <si>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</si>
  <si>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</si>
  <si>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</si>
  <si>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</si>
  <si>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</si>
  <si>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</si>
  <si>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</si>
  <si>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</si>
  <si>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</si>
  <si>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</si>
  <si>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</si>
  <si>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</si>
  <si>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</si>
  <si>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</si>
  <si>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</si>
  <si>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</si>
  <si>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</si>
  <si>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</si>
  <si>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</si>
  <si>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</si>
  <si>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</si>
  <si>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</si>
  <si>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</si>
  <si>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</si>
  <si>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</si>
  <si>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</si>
  <si>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</si>
  <si>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</si>
  <si>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</si>
  <si>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</si>
  <si>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</si>
  <si>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</si>
  <si>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</si>
  <si>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</si>
  <si>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</si>
  <si>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</si>
  <si>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</si>
  <si>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</si>
  <si>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</si>
  <si>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</si>
  <si>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</si>
  <si>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</si>
  <si>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</si>
  <si>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</si>
  <si>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</si>
  <si>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</si>
  <si>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</si>
  <si>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</si>
  <si>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</si>
  <si>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</si>
  <si>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</si>
  <si>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</si>
  <si>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</si>
  <si>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</si>
  <si>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</si>
  <si>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</si>
  <si>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</si>
  <si>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</si>
  <si>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</si>
  <si>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</si>
  <si>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</si>
  <si>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</si>
  <si>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</si>
  <si>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</si>
  <si>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</si>
  <si>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</si>
  <si>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</si>
  <si>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</si>
  <si>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</si>
  <si>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</si>
  <si>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</si>
  <si>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</si>
  <si>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</si>
  <si>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</si>
  <si>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</si>
  <si>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</si>
  <si>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</si>
  <si>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</si>
  <si>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</si>
  <si>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</si>
  <si>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</si>
  <si>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</si>
  <si>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</si>
  <si>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</si>
  <si>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</si>
  <si>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</si>
  <si>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</si>
  <si>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</si>
  <si>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</si>
  <si>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</si>
  <si>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</si>
  <si>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</si>
  <si>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</si>
  <si>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</si>
  <si>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</si>
  <si>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</si>
  <si>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</si>
  <si>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</si>
  <si>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</si>
  <si>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</si>
  <si>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</si>
  <si>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</si>
  <si>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</si>
  <si>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</si>
  <si>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</si>
  <si>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</si>
  <si>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</si>
  <si>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</si>
  <si>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</si>
  <si>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</si>
  <si>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</si>
  <si>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</si>
  <si>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</si>
  <si>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</si>
  <si>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</si>
  <si>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</si>
  <si>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</si>
  <si>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</si>
  <si>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</si>
  <si>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</si>
  <si>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</si>
  <si>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</si>
  <si>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</si>
  <si>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</si>
  <si>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</si>
  <si>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</si>
  <si>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</si>
  <si>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</si>
  <si>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</si>
  <si>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</si>
  <si>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</si>
  <si>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</si>
  <si>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</si>
  <si>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</si>
  <si>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</si>
  <si>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</si>
  <si>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</si>
  <si>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</si>
  <si>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</si>
  <si>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</si>
  <si>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</si>
  <si>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</si>
  <si>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</si>
  <si>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</si>
  <si>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</si>
  <si>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</si>
  <si>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</si>
  <si>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</si>
  <si>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</si>
  <si>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</si>
  <si>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</si>
  <si>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</si>
  <si>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</si>
  <si>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</si>
  <si>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</si>
  <si>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</si>
  <si>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</si>
  <si>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</si>
  <si>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</si>
  <si>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</si>
  <si>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</si>
  <si>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</si>
  <si>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</si>
  <si>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</si>
  <si>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</si>
  <si>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</si>
  <si>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</si>
  <si>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</si>
  <si>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</si>
  <si>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</si>
  <si>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</si>
  <si>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</si>
  <si>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</si>
  <si>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</si>
  <si>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</si>
  <si>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</si>
  <si>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</si>
  <si>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</si>
  <si>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</si>
  <si>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</si>
  <si>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</si>
  <si>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</si>
  <si>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</si>
  <si>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</si>
  <si>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</si>
  <si>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</si>
  <si>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</si>
  <si>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</si>
  <si>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</si>
  <si>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</si>
  <si>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</si>
  <si>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</si>
  <si>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</si>
  <si>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</si>
  <si>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</si>
  <si>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</si>
  <si>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</si>
  <si>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</si>
  <si>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</si>
  <si>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</si>
  <si>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</si>
  <si>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</si>
  <si>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</si>
  <si>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</si>
  <si>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</si>
  <si>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</si>
  <si>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</si>
  <si>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</si>
  <si>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</si>
  <si>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</si>
  <si>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</si>
  <si>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</si>
  <si>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</si>
  <si>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</si>
  <si>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</si>
  <si>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</si>
  <si>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</si>
  <si>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</si>
  <si>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</si>
  <si>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</si>
  <si>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</si>
  <si>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</si>
  <si>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</si>
  <si>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</si>
  <si>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</si>
  <si>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</si>
  <si>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</si>
  <si>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</si>
  <si>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</si>
  <si>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</si>
  <si>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</si>
  <si>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</si>
  <si>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</si>
  <si>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</si>
  <si>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</si>
  <si>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</si>
  <si>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</si>
  <si>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</si>
  <si>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</si>
  <si>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</si>
  <si>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</si>
  <si>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</si>
  <si>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</si>
  <si>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</si>
  <si>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</si>
  <si>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</si>
  <si>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</si>
  <si>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</si>
  <si>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</si>
  <si>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</si>
  <si>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</si>
  <si>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</si>
  <si>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</si>
  <si>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</si>
  <si>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</si>
  <si>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</si>
  <si>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</si>
  <si>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</si>
  <si>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</si>
  <si>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</si>
  <si>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</si>
  <si>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</si>
  <si>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</si>
  <si>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</si>
  <si>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</si>
  <si>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</si>
  <si>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</si>
  <si>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</si>
  <si>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</si>
  <si>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</si>
  <si>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</si>
  <si>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</si>
  <si>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</si>
  <si>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</si>
  <si>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</si>
  <si>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</si>
  <si>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</si>
  <si>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</si>
  <si>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</si>
  <si>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</si>
  <si>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</si>
  <si>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</si>
  <si>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</si>
  <si>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</si>
  <si>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</si>
  <si>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</si>
  <si>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</si>
  <si>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</si>
  <si>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</si>
  <si>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</si>
  <si>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</si>
  <si>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</si>
  <si>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</si>
  <si>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</si>
  <si>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</si>
  <si>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</si>
  <si>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</si>
  <si>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</si>
  <si>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</si>
  <si>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</si>
  <si>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</si>
  <si>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</si>
  <si>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</si>
  <si>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</si>
  <si>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</si>
  <si>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</si>
  <si>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</si>
  <si>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</si>
  <si>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</si>
  <si>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</si>
  <si>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</si>
  <si>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</si>
  <si>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</si>
  <si>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</si>
  <si>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</si>
  <si>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</si>
  <si>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</si>
  <si>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</si>
  <si>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</si>
  <si>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</si>
  <si>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</si>
  <si>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</si>
  <si>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</si>
  <si>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</si>
  <si>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</si>
  <si>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</si>
  <si>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</si>
  <si>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</si>
  <si>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</si>
  <si>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</si>
  <si>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</si>
  <si>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</si>
  <si>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</si>
  <si>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</si>
  <si>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</si>
  <si>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</si>
  <si>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</si>
  <si>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</si>
  <si>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</si>
  <si>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</si>
  <si>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</si>
  <si>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</si>
  <si>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</si>
  <si>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</si>
  <si>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</si>
  <si>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</si>
  <si>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</si>
  <si>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</si>
  <si>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</si>
  <si>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</si>
  <si>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</si>
  <si>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</si>
  <si>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</si>
  <si>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</si>
  <si>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</si>
  <si>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</si>
  <si>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</si>
  <si>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</si>
  <si>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</si>
  <si>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</si>
  <si>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</si>
  <si>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</si>
  <si>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</si>
  <si>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</si>
  <si>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</si>
  <si>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</si>
  <si>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</si>
  <si>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</si>
  <si>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</si>
  <si>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</si>
  <si>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</si>
  <si>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</si>
  <si>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</si>
  <si>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</si>
  <si>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</si>
  <si>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</si>
  <si>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</si>
  <si>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</si>
  <si>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</si>
  <si>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</si>
  <si>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</si>
  <si>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</si>
  <si>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</si>
  <si>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</si>
  <si>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</si>
  <si>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</si>
  <si>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</si>
  <si>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</si>
  <si>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</si>
  <si>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</si>
  <si>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</si>
  <si>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</si>
  <si>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</si>
  <si>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</si>
  <si>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</si>
  <si>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</si>
  <si>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</si>
  <si>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</si>
  <si>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</si>
  <si>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</si>
  <si>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</si>
  <si>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</si>
  <si>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</si>
  <si>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</si>
  <si>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</si>
  <si>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</si>
  <si>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</si>
  <si>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</si>
  <si>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</si>
  <si>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</si>
  <si>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</si>
  <si>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</si>
  <si>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</si>
  <si>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</si>
  <si>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</si>
  <si>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</si>
  <si>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</si>
  <si>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</si>
  <si>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</si>
  <si>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</si>
  <si>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</si>
  <si>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</si>
  <si>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</si>
  <si>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</si>
  <si>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</si>
  <si>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</si>
  <si>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</si>
  <si>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</si>
  <si>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</si>
  <si>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</si>
  <si>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</si>
  <si>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</si>
  <si>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</si>
  <si>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</si>
  <si>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</si>
  <si>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</si>
  <si>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</si>
  <si>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</si>
  <si>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</si>
  <si>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</si>
  <si>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</si>
  <si>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</si>
  <si>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</si>
  <si>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</si>
  <si>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</si>
  <si>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</si>
  <si>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</si>
  <si>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</si>
  <si>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</si>
  <si>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</si>
  <si>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</si>
  <si>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</si>
  <si>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</si>
  <si>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</si>
  <si>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</si>
  <si>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</si>
  <si>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</si>
  <si>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</si>
  <si>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</si>
  <si>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</si>
  <si>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</si>
  <si>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</si>
  <si>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</si>
  <si>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</si>
  <si>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</si>
  <si>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</si>
  <si>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</si>
  <si>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</si>
  <si>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</si>
  <si>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</si>
  <si>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</si>
  <si>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</si>
  <si>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</si>
  <si>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</si>
  <si>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</si>
  <si>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</si>
  <si>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</si>
  <si>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</si>
  <si>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</si>
  <si>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</si>
  <si>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</si>
  <si>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</si>
  <si>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</si>
  <si>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</si>
  <si>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</si>
  <si>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</si>
  <si>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</si>
  <si>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</si>
  <si>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</si>
  <si>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</si>
  <si>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</si>
  <si>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</si>
  <si>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</si>
  <si>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</si>
  <si>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</si>
  <si>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</si>
  <si>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</si>
  <si>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</si>
  <si>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</si>
  <si>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</si>
  <si>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</si>
  <si>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</si>
  <si>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</si>
  <si>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</si>
  <si>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</si>
  <si>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</si>
  <si>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</si>
  <si>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</si>
  <si>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</si>
  <si>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</si>
  <si>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</si>
  <si>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</si>
  <si>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</si>
  <si>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</si>
  <si>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</si>
  <si>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</si>
  <si>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</si>
  <si>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</si>
  <si>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</si>
  <si>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</si>
  <si>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</si>
  <si>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</si>
  <si>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</si>
  <si>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</si>
  <si>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</si>
  <si>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</si>
  <si>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</si>
  <si>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</si>
  <si>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</si>
  <si>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</si>
  <si>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</si>
  <si>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</si>
  <si>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</si>
  <si>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</si>
  <si>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</si>
  <si>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</si>
  <si>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</si>
  <si>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</si>
  <si>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</si>
  <si>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</si>
  <si>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</si>
  <si>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</si>
  <si>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</si>
  <si>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</si>
  <si>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</si>
  <si>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</si>
  <si>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</si>
  <si>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</si>
  <si>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</si>
  <si>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</si>
  <si>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</si>
  <si>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</si>
  <si>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</si>
  <si>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</si>
  <si>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</si>
  <si>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</si>
  <si>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</si>
  <si>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</si>
  <si>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</si>
  <si>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</si>
  <si>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</si>
  <si>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</si>
  <si>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</si>
  <si>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</si>
  <si>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</si>
  <si>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</si>
  <si>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</si>
  <si>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</si>
  <si>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</si>
  <si>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</si>
  <si>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</si>
  <si>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</si>
  <si>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</si>
  <si>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</si>
  <si>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</si>
  <si>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</si>
  <si>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</si>
  <si>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</si>
  <si>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</si>
  <si>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</si>
  <si>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</si>
  <si>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</si>
  <si>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</si>
  <si>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</si>
  <si>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</si>
  <si>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</si>
  <si>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</si>
  <si>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</si>
  <si>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</si>
  <si>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</si>
  <si>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</si>
  <si>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</si>
  <si>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</si>
  <si>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</si>
  <si>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</si>
  <si>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</si>
  <si>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</si>
  <si>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</si>
  <si>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</si>
  <si>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</si>
  <si>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</si>
  <si>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</si>
  <si>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</si>
  <si>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</si>
  <si>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</si>
  <si>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</si>
  <si>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</si>
  <si>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</si>
  <si>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</si>
  <si>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</si>
  <si>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</si>
  <si>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</si>
  <si>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</si>
  <si>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</si>
  <si>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</si>
  <si>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</si>
  <si>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</si>
  <si>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</si>
  <si>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</si>
  <si>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</si>
  <si>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</si>
  <si>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</si>
  <si>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</si>
  <si>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</si>
  <si>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</si>
  <si>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</si>
  <si>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</si>
  <si>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</si>
  <si>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</si>
  <si>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</si>
  <si>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</si>
  <si>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</si>
  <si>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</si>
  <si>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</si>
  <si>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</si>
  <si>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</si>
  <si>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</si>
  <si>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</si>
  <si>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</si>
  <si>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</si>
  <si>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</si>
  <si>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</si>
  <si>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</si>
  <si>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</si>
  <si>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</si>
  <si>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</si>
  <si>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</si>
  <si>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</si>
  <si>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</si>
  <si>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</si>
  <si>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</si>
  <si>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</si>
  <si>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</si>
  <si>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</si>
  <si>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</si>
  <si>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</si>
  <si>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</si>
  <si>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</si>
  <si>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</si>
  <si>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</si>
  <si>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</si>
  <si>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</si>
  <si>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</si>
  <si>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</si>
  <si>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</si>
  <si>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</si>
  <si>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</si>
  <si>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</si>
  <si>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</si>
  <si>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</si>
  <si>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</si>
  <si>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</si>
  <si>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</si>
  <si>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</si>
  <si>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</si>
  <si>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</si>
  <si>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</si>
  <si>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</si>
  <si>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</si>
  <si>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</si>
  <si>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</si>
  <si>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</si>
  <si>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</si>
  <si>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</si>
  <si>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</si>
  <si>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</si>
  <si>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</si>
  <si>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</si>
  <si>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</si>
  <si>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</si>
  <si>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</si>
  <si>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</si>
  <si>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</si>
  <si>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</si>
  <si>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</si>
  <si>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</si>
  <si>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</si>
  <si>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</si>
  <si>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</si>
  <si>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</si>
  <si>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</si>
  <si>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</si>
  <si>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</si>
  <si>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</si>
  <si>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</si>
  <si>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</si>
  <si>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</si>
  <si>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</si>
  <si>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</si>
  <si>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</si>
  <si>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</si>
  <si>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</si>
  <si>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</si>
  <si>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</si>
  <si>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</si>
  <si>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</si>
  <si>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</si>
  <si>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</si>
  <si>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</si>
  <si>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</si>
  <si>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</si>
  <si>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</si>
  <si>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</si>
  <si>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</si>
  <si>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</si>
  <si>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</si>
  <si>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</si>
  <si>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</si>
  <si>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</si>
  <si>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</si>
  <si>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</si>
  <si>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</si>
  <si>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</si>
  <si>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</si>
  <si>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</si>
  <si>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</si>
  <si>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</si>
  <si>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</si>
  <si>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</si>
  <si>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</si>
  <si>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</si>
  <si>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</si>
  <si>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</si>
  <si>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</si>
  <si>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</si>
  <si>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</si>
  <si>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</si>
  <si>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</si>
  <si>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</si>
  <si>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</si>
  <si>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</si>
  <si>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</si>
  <si>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</si>
  <si>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</si>
  <si>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</si>
  <si>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</si>
  <si>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</si>
  <si>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</si>
  <si>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</si>
  <si>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</si>
  <si>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</si>
  <si>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</si>
  <si>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</si>
  <si>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</si>
  <si>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</si>
  <si>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</si>
  <si>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</si>
  <si>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</si>
  <si>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</si>
  <si>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</si>
  <si>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</si>
  <si>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</si>
  <si>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</si>
  <si>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</si>
  <si>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</si>
  <si>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</si>
  <si>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</si>
  <si>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</si>
  <si>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</si>
  <si>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</si>
  <si>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</si>
  <si>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</si>
  <si>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</si>
  <si>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</si>
  <si>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</si>
  <si>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</si>
  <si>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</si>
  <si>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</si>
  <si>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</si>
  <si>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</si>
  <si>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</si>
  <si>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</si>
  <si>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</si>
  <si>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</si>
  <si>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</si>
  <si>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</si>
  <si>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</si>
  <si>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</si>
  <si>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</si>
  <si>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</si>
  <si>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</si>
  <si>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</si>
  <si>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</si>
  <si>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</si>
  <si>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</si>
  <si>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</si>
  <si>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</si>
  <si>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</si>
  <si>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</si>
  <si>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</si>
  <si>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</si>
  <si>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</si>
  <si>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</si>
  <si>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</si>
  <si>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</si>
  <si>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</si>
  <si>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</si>
  <si>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</si>
  <si>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</si>
  <si>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</si>
  <si>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</si>
  <si>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</si>
  <si>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</si>
  <si>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</si>
  <si>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</si>
  <si>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</si>
  <si>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</si>
  <si>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</si>
  <si>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</si>
  <si>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</si>
  <si>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</si>
  <si>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</si>
  <si>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</si>
  <si>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</si>
  <si>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</si>
  <si>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</si>
  <si>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</si>
  <si>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</si>
  <si>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</si>
  <si>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</si>
  <si>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</si>
  <si>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</si>
  <si>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</si>
  <si>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</si>
  <si>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</si>
  <si>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</si>
  <si>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</si>
  <si>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</si>
  <si>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</si>
  <si>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</si>
  <si>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</si>
  <si>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</si>
  <si>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</si>
  <si>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</si>
  <si>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</si>
  <si>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</si>
  <si>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</si>
  <si>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</si>
  <si>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</si>
  <si>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</si>
  <si>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</si>
  <si>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</si>
  <si>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</si>
  <si>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</si>
  <si>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</si>
  <si>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</si>
  <si>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</si>
  <si>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</si>
  <si>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</si>
  <si>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</si>
  <si>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</si>
  <si>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</si>
  <si>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</si>
  <si>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</si>
  <si>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</si>
  <si>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</si>
  <si>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</si>
  <si>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</si>
  <si>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</si>
  <si>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</si>
  <si>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</si>
  <si>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</si>
  <si>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</si>
  <si>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</si>
  <si>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</si>
  <si>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</si>
  <si>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</si>
  <si>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</si>
  <si>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</si>
  <si>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</si>
  <si>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</si>
  <si>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</si>
  <si>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</si>
  <si>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</si>
  <si>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</si>
  <si>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</si>
  <si>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</si>
  <si>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</si>
  <si>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</si>
  <si>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</si>
  <si>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</si>
  <si>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</si>
  <si>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</si>
  <si>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</si>
  <si>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</si>
  <si>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</si>
  <si>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</si>
  <si>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</si>
  <si>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</si>
  <si>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</si>
  <si>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</si>
  <si>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</si>
  <si>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</si>
  <si>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</si>
  <si>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</si>
  <si>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</si>
  <si>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</si>
  <si>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</si>
  <si>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</si>
  <si>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</si>
  <si>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</si>
  <si>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</si>
  <si>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</si>
  <si>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</si>
  <si>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</si>
  <si>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</si>
  <si>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</si>
  <si>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</si>
  <si>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</si>
  <si>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</si>
  <si>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</si>
  <si>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</si>
  <si>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</si>
  <si>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</si>
  <si>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</si>
  <si>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</si>
  <si>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</si>
  <si>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</si>
  <si>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</si>
  <si>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</si>
  <si>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</si>
  <si>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</si>
  <si>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</si>
  <si>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</si>
  <si>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</si>
  <si>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</si>
  <si>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</si>
  <si>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</si>
  <si>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</si>
  <si>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</si>
  <si>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</si>
  <si>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</si>
  <si>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</si>
  <si>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</si>
  <si>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</si>
  <si>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</si>
  <si>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</si>
  <si>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</si>
  <si>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</si>
  <si>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</si>
  <si>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</si>
  <si>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</si>
  <si>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</si>
  <si>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</si>
  <si>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</si>
  <si>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</si>
  <si>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</si>
  <si>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</si>
  <si>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</si>
  <si>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</si>
  <si>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</si>
  <si>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</si>
  <si>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</si>
  <si>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</si>
  <si>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</si>
  <si>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</si>
  <si>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</si>
  <si>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</si>
  <si>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</si>
  <si>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</si>
  <si>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</si>
  <si>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</si>
  <si>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</si>
  <si>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</si>
  <si>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</si>
  <si>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</si>
  <si>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</si>
  <si>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</si>
  <si>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</si>
  <si>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</si>
  <si>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</si>
  <si>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</si>
  <si>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</si>
  <si>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</si>
  <si>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</si>
  <si>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</si>
  <si>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</si>
  <si>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</si>
  <si>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</si>
  <si>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</si>
  <si>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</si>
  <si>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</si>
  <si>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</si>
  <si>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</si>
  <si>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</si>
  <si>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</si>
  <si>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</si>
  <si>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</si>
  <si>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</si>
  <si>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</si>
  <si>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</si>
  <si>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</si>
  <si>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</si>
  <si>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</si>
  <si>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</si>
  <si>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</si>
  <si>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</si>
  <si>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</si>
  <si>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</si>
  <si>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</si>
  <si>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</si>
  <si>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</si>
  <si>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</si>
  <si>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</si>
  <si>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</si>
  <si>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</si>
  <si>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</si>
  <si>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</si>
  <si>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</si>
  <si>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</si>
  <si>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</si>
  <si>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</si>
  <si>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</si>
  <si>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</si>
  <si>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</si>
  <si>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</si>
  <si>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</si>
  <si>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</si>
  <si>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</si>
  <si>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</si>
  <si>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</si>
  <si>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</si>
  <si>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</si>
  <si>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</si>
  <si>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</si>
  <si>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</si>
  <si>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</si>
  <si>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</si>
  <si>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</si>
  <si>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</si>
  <si>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</si>
  <si>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</si>
  <si>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</si>
  <si>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</si>
  <si>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</si>
  <si>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</si>
  <si>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</si>
  <si>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</si>
  <si>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</si>
  <si>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</si>
  <si>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</si>
  <si>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</si>
  <si>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</si>
  <si>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</si>
  <si>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</si>
  <si>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</si>
  <si>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</si>
  <si>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</si>
  <si>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</si>
  <si>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</si>
  <si>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</si>
  <si>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</si>
  <si>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</si>
  <si>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</si>
  <si>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</si>
  <si>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</si>
  <si>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</si>
  <si>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</si>
  <si>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</si>
  <si>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</si>
  <si>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</si>
  <si>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</si>
  <si>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</si>
  <si>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</si>
  <si>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</si>
  <si>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</si>
  <si>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</si>
  <si>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</si>
  <si>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</si>
  <si>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</si>
  <si>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</si>
  <si>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</si>
  <si>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</si>
  <si>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</si>
  <si>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</si>
  <si>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</si>
  <si>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</si>
  <si>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</si>
  <si>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</si>
  <si>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</si>
  <si>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</si>
  <si>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</si>
  <si>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</si>
  <si>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</si>
  <si>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</si>
  <si>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</si>
  <si>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</si>
  <si>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</si>
  <si>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</si>
  <si>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</si>
  <si>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</si>
  <si>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</si>
  <si>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</si>
  <si>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</si>
  <si>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</si>
  <si>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</si>
  <si>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</si>
  <si>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</si>
  <si>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</si>
  <si>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</si>
  <si>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</si>
  <si>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</si>
  <si>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</si>
  <si>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</si>
  <si>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</si>
  <si>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</si>
  <si>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</si>
  <si>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</si>
  <si>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</si>
  <si>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</si>
  <si>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</si>
  <si>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</si>
  <si>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</si>
  <si>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</si>
  <si>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</si>
  <si>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</si>
  <si>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</si>
  <si>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</si>
  <si>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</si>
  <si>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</si>
  <si>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</si>
  <si>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</si>
  <si>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</si>
  <si>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</si>
  <si>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</si>
  <si>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</si>
  <si>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</si>
  <si>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</si>
  <si>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</si>
  <si>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</si>
  <si>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</si>
  <si>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</si>
  <si>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</si>
  <si>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</si>
  <si>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</si>
  <si>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</si>
  <si>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</si>
  <si>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</si>
  <si>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</si>
  <si>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</si>
  <si>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</si>
  <si>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</si>
  <si>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</si>
  <si>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</si>
  <si>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</si>
  <si>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</si>
  <si>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</si>
  <si>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</si>
  <si>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</si>
  <si>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</si>
  <si>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</si>
  <si>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</si>
  <si>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</si>
  <si>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</si>
  <si>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</si>
  <si>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</si>
  <si>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</si>
  <si>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</si>
  <si>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</si>
  <si>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</si>
  <si>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</si>
  <si>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</si>
  <si>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</si>
  <si>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</si>
  <si>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</si>
  <si>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</si>
  <si>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</si>
  <si>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</si>
  <si>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</si>
  <si>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</si>
  <si>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</si>
  <si>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</si>
  <si>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</si>
  <si>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</si>
  <si>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</si>
  <si>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</si>
  <si>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</si>
  <si>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</si>
  <si>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</si>
  <si>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</si>
  <si>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</si>
  <si>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</si>
  <si>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</si>
  <si>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</si>
  <si>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</si>
  <si>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</si>
  <si>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</si>
  <si>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</si>
  <si>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</si>
  <si>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</si>
  <si>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</si>
  <si>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</si>
  <si>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</si>
  <si>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</si>
  <si>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</si>
  <si>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</si>
  <si>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</si>
  <si>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</si>
  <si>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</si>
  <si>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</si>
  <si>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</si>
  <si>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</si>
  <si>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</si>
  <si>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</si>
  <si>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</si>
  <si>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</si>
  <si>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</si>
  <si>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</si>
  <si>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</si>
  <si>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</si>
  <si>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</si>
  <si>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</si>
  <si>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</si>
  <si>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</si>
  <si>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</si>
  <si>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</si>
  <si>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</si>
  <si>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</si>
  <si>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</si>
  <si>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</si>
  <si>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</si>
  <si>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</si>
  <si>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</si>
  <si>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</si>
  <si>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</si>
  <si>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</si>
  <si>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</si>
  <si>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</si>
  <si>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</si>
  <si>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</si>
  <si>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</si>
  <si>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</si>
  <si>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</si>
  <si>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</si>
  <si>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</si>
  <si>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</si>
  <si>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</si>
  <si>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</si>
  <si>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</si>
  <si>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</si>
  <si>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</si>
  <si>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</si>
  <si>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</si>
  <si>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</si>
  <si>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</si>
  <si>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</si>
  <si>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</si>
  <si>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</si>
  <si>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</si>
  <si>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</si>
  <si>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</si>
  <si>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</si>
  <si>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</si>
  <si>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</si>
  <si>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</si>
  <si>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</si>
  <si>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</si>
  <si>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</si>
  <si>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</si>
  <si>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</si>
  <si>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</si>
  <si>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</si>
  <si>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</si>
  <si>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</si>
  <si>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</si>
  <si>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</si>
  <si>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</si>
  <si>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</si>
  <si>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</si>
  <si>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</si>
  <si>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</si>
  <si>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</si>
  <si>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</si>
  <si>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</si>
  <si>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</si>
  <si>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</si>
  <si>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</si>
  <si>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</si>
  <si>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</si>
  <si>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</si>
  <si>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</si>
  <si>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</si>
  <si>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</si>
  <si>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</si>
  <si>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</si>
  <si>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</si>
  <si>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</si>
  <si>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</si>
  <si>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</si>
  <si>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</si>
  <si>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</si>
  <si>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</si>
  <si>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</si>
  <si>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</si>
  <si>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</si>
  <si>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</si>
  <si>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</si>
  <si>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</si>
  <si>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</si>
  <si>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</si>
  <si>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</si>
  <si>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</si>
  <si>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</si>
  <si>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</si>
  <si>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</si>
  <si>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</si>
  <si>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</si>
  <si>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</si>
  <si>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</si>
  <si>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</si>
  <si>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</si>
  <si>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</si>
  <si>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</si>
  <si>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</si>
  <si>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</si>
  <si>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</si>
  <si>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</si>
  <si>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</si>
  <si>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</si>
  <si>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</si>
  <si>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</si>
  <si>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</si>
  <si>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</si>
  <si>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</si>
  <si>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</si>
  <si>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</si>
  <si>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</si>
  <si>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</si>
  <si>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</si>
  <si>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</si>
  <si>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</si>
  <si>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</si>
  <si>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</si>
  <si>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</si>
  <si>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</si>
  <si>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</si>
  <si>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</si>
  <si>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</si>
  <si>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</si>
  <si>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</si>
  <si>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</si>
  <si>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</si>
  <si>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</si>
  <si>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</si>
  <si>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</si>
  <si>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</si>
  <si>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</si>
  <si>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</si>
  <si>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</si>
  <si>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</si>
  <si>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</si>
  <si>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</si>
  <si>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</si>
  <si>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</si>
  <si>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</si>
  <si>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</si>
  <si>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</si>
  <si>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</si>
  <si>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</si>
  <si>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</si>
  <si>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</si>
  <si>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</si>
  <si>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</si>
  <si>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</si>
  <si>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</si>
  <si>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</si>
  <si>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</si>
  <si>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</si>
  <si>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</si>
  <si>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</si>
  <si>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</si>
  <si>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</si>
  <si>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</si>
  <si>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</si>
  <si>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</si>
  <si>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</si>
  <si>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</si>
  <si>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</si>
  <si>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</si>
  <si>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</si>
  <si>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</si>
  <si>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</si>
  <si>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</si>
  <si>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</si>
  <si>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</si>
  <si>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</si>
  <si>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</si>
  <si>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</si>
  <si>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</si>
  <si>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</si>
  <si>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</si>
  <si>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</si>
  <si>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</si>
  <si>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</si>
  <si>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</si>
  <si>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</si>
  <si>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</si>
  <si>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</si>
  <si>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</si>
  <si>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</si>
  <si>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</si>
  <si>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</si>
  <si>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</si>
  <si>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</si>
  <si>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</si>
  <si>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</si>
  <si>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</si>
  <si>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</si>
  <si>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</si>
  <si>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</si>
  <si>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</si>
  <si>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</si>
  <si>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</si>
  <si>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</si>
  <si>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</si>
  <si>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</si>
  <si>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</si>
  <si>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</si>
  <si>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</si>
  <si>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</si>
  <si>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</si>
  <si>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</si>
  <si>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</si>
  <si>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</si>
  <si>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</si>
  <si>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</si>
  <si>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</si>
  <si>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</si>
  <si>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</si>
  <si>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</si>
  <si>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</si>
  <si>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</si>
  <si>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</si>
  <si>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</si>
  <si>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</si>
  <si>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</si>
  <si>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</si>
  <si>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</si>
  <si>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</si>
  <si>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</si>
  <si>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</si>
  <si>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</si>
  <si>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</si>
  <si>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</si>
  <si>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</si>
  <si>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</si>
  <si>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</si>
  <si>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</si>
  <si>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</si>
  <si>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</si>
  <si>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</si>
  <si>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</si>
  <si>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</si>
  <si>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</si>
  <si>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</si>
  <si>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</si>
  <si>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</si>
  <si>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</si>
  <si>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</si>
  <si>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</si>
  <si>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</si>
  <si>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</si>
  <si>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</si>
  <si>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</si>
  <si>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</si>
  <si>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</si>
  <si>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</si>
  <si>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</si>
  <si>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</si>
  <si>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</si>
  <si>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</si>
  <si>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</si>
  <si>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</si>
  <si>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</si>
  <si>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</si>
  <si>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</si>
  <si>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</si>
  <si>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</si>
  <si>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</si>
  <si>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</si>
  <si>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</si>
  <si>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</si>
  <si>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</si>
  <si>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</si>
  <si>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</si>
  <si>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</si>
  <si>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</si>
  <si>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</si>
  <si>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</si>
  <si>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</si>
  <si>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</si>
  <si>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</si>
  <si>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</si>
  <si>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</si>
  <si>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</si>
  <si>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</si>
  <si>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</si>
  <si>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</si>
  <si>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</si>
  <si>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</si>
  <si>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</si>
  <si>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</si>
  <si>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</si>
  <si>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</si>
  <si>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</si>
  <si>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</si>
  <si>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</si>
  <si>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</si>
  <si>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</si>
  <si>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</si>
  <si>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</si>
  <si>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</si>
  <si>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</si>
  <si>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</si>
  <si>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</si>
  <si>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</si>
  <si>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</si>
  <si>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</si>
  <si>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</si>
  <si>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</si>
  <si>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</si>
  <si>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</si>
  <si>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</si>
  <si>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</si>
  <si>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</si>
  <si>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</si>
  <si>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</si>
  <si>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</si>
  <si>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</si>
  <si>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</si>
  <si>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</si>
  <si>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</si>
  <si>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</si>
  <si>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</si>
  <si>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</si>
  <si>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</si>
  <si>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</si>
  <si>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</si>
  <si>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</si>
  <si>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</si>
  <si>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</si>
  <si>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</si>
  <si>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</si>
  <si>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</si>
  <si>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</si>
  <si>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</si>
  <si>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</si>
  <si>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</si>
  <si>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</si>
  <si>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</si>
  <si>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</si>
  <si>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</si>
  <si>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</si>
  <si>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</si>
  <si>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</si>
  <si>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</si>
  <si>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</si>
  <si>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</si>
  <si>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</si>
  <si>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</si>
  <si>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</si>
  <si>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</si>
  <si>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</si>
  <si>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</si>
  <si>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</si>
  <si>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</si>
  <si>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</si>
  <si>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</si>
  <si>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</si>
  <si>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</si>
  <si>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</si>
  <si>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</si>
  <si>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</si>
  <si>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</si>
  <si>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</si>
  <si>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</si>
  <si>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</si>
  <si>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</si>
  <si>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</si>
  <si>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</si>
  <si>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</si>
  <si>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</si>
  <si>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</si>
  <si>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</si>
  <si>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</si>
  <si>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</si>
  <si>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</si>
  <si>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</si>
  <si>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</si>
  <si>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</si>
  <si>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</si>
  <si>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</si>
  <si>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</si>
  <si>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</si>
  <si>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</si>
  <si>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</si>
  <si>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</si>
  <si>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</si>
  <si>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</si>
  <si>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</si>
  <si>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</si>
  <si>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</si>
  <si>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</si>
  <si>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</si>
  <si>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</si>
  <si>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</si>
  <si>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</si>
  <si>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</si>
  <si>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</si>
  <si>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</si>
  <si>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</si>
  <si>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</si>
  <si>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</si>
  <si>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</si>
  <si>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</si>
  <si>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</si>
  <si>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</si>
  <si>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</si>
  <si>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</si>
  <si>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</si>
  <si>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</si>
  <si>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</si>
  <si>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</si>
  <si>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</si>
  <si>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</si>
  <si>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</si>
  <si>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</si>
  <si>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</si>
  <si>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</si>
  <si>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</si>
  <si>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</si>
  <si>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</si>
  <si>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</si>
  <si>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</si>
  <si>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</si>
  <si>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</si>
  <si>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</si>
  <si>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</si>
  <si>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</si>
  <si>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</si>
  <si>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</si>
  <si>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</si>
  <si>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</si>
  <si>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</si>
  <si>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</si>
  <si>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</si>
  <si>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</si>
  <si>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</si>
  <si>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</si>
  <si>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</si>
  <si>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</si>
  <si>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</si>
  <si>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</si>
  <si>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</si>
  <si>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</si>
  <si>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</si>
  <si>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</si>
  <si>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</si>
  <si>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</si>
  <si>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</si>
  <si>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</si>
  <si>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</si>
  <si>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</si>
  <si>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</si>
  <si>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</si>
  <si>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</si>
  <si>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</si>
  <si>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</si>
  <si>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</si>
  <si>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</si>
  <si>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</si>
  <si>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</si>
  <si>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</si>
  <si>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</si>
  <si>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</si>
  <si>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</si>
  <si>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</si>
  <si>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</si>
  <si>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</si>
  <si>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</si>
  <si>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</si>
  <si>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</si>
  <si>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</si>
  <si>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</si>
  <si>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</si>
  <si>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</si>
  <si>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</si>
  <si>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</si>
  <si>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</si>
  <si>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</si>
  <si>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</si>
  <si>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</si>
  <si>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</si>
  <si>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</si>
  <si>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</si>
  <si>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</si>
  <si>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</si>
  <si>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</si>
  <si>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</si>
  <si>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</si>
  <si>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</si>
  <si>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</si>
  <si>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</si>
  <si>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</si>
  <si>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</si>
  <si>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</si>
  <si>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</si>
  <si>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</si>
  <si>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</si>
  <si>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</si>
  <si>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</si>
  <si>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</si>
  <si>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</si>
  <si>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</si>
  <si>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</si>
  <si>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</si>
  <si>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</si>
  <si>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</si>
  <si>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</si>
  <si>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</si>
  <si>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</si>
  <si>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</si>
  <si>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</si>
  <si>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</si>
  <si>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</si>
  <si>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</si>
  <si>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</si>
  <si>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</si>
  <si>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</si>
  <si>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</si>
  <si>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</si>
  <si>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</si>
  <si>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</si>
  <si>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</si>
  <si>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</si>
  <si>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</si>
  <si>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</si>
  <si>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</si>
  <si>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</si>
  <si>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</si>
  <si>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</si>
  <si>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</si>
  <si>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</si>
  <si>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</si>
  <si>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</si>
  <si>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</si>
  <si>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</si>
  <si>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</si>
  <si>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</si>
  <si>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</si>
  <si>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</si>
  <si>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</si>
  <si>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</si>
  <si>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</si>
  <si>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</si>
  <si>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</si>
  <si>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</si>
  <si>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</si>
  <si>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</si>
  <si>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</si>
  <si>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</si>
  <si>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</si>
  <si>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</si>
  <si>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</si>
  <si>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</si>
  <si>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</si>
  <si>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</si>
  <si>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</si>
  <si>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</si>
  <si>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</si>
  <si>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</si>
  <si>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</si>
  <si>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</si>
  <si>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</si>
  <si>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</si>
  <si>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</si>
  <si>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</si>
  <si>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</si>
  <si>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</si>
  <si>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</si>
  <si>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</si>
  <si>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</si>
  <si>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</si>
  <si>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</si>
  <si>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</si>
  <si>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</si>
  <si>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</si>
  <si>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</si>
  <si>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</si>
  <si>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</si>
  <si>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</si>
  <si>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</si>
  <si>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</si>
  <si>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</si>
  <si>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</si>
  <si>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</si>
  <si>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</si>
  <si>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</si>
  <si>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</si>
  <si>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</si>
  <si>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</si>
  <si>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</si>
  <si>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</si>
  <si>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</si>
  <si>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</si>
  <si>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</si>
  <si>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</si>
  <si>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</si>
  <si>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</si>
  <si>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</si>
  <si>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</si>
  <si>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</si>
  <si>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</si>
  <si>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</si>
  <si>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</si>
  <si>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</si>
  <si>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</si>
  <si>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</si>
  <si>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</si>
  <si>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</si>
  <si>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</si>
  <si>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</si>
  <si>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</si>
  <si>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</si>
  <si>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</si>
  <si>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</si>
  <si>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</si>
  <si>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</si>
  <si>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</si>
  <si>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</si>
  <si>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</si>
  <si>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</si>
  <si>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</si>
  <si>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</si>
  <si>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</si>
  <si>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</si>
  <si>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</si>
  <si>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</si>
  <si>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</si>
  <si>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</si>
  <si>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</si>
  <si>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</si>
  <si>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</si>
  <si>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</si>
  <si>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</si>
  <si>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</si>
  <si>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</si>
  <si>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</si>
  <si>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</si>
  <si>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</si>
  <si>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</si>
  <si>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</si>
  <si>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</si>
  <si>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</si>
  <si>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</si>
  <si>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</si>
  <si>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</si>
  <si>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</si>
  <si>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</si>
  <si>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</si>
  <si>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</si>
  <si>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</si>
  <si>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</si>
  <si>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</si>
  <si>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</si>
  <si>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</si>
  <si>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</si>
  <si>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</si>
  <si>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</si>
  <si>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</si>
  <si>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</si>
  <si>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</si>
  <si>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</si>
  <si>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</si>
  <si>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</si>
  <si>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</si>
  <si>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</si>
  <si>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</si>
  <si>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</si>
  <si>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</si>
  <si>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</si>
  <si>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</si>
  <si>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</si>
  <si>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</si>
  <si>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</si>
  <si>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</si>
  <si>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</si>
  <si>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</si>
  <si>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</si>
  <si>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</si>
  <si>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</si>
  <si>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</si>
  <si>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</si>
  <si>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</si>
  <si>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</si>
  <si>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</si>
  <si>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</si>
  <si>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</si>
  <si>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</si>
  <si>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</si>
  <si>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</si>
  <si>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</si>
  <si>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</si>
  <si>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</si>
  <si>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</si>
  <si>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</si>
  <si>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</si>
  <si>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</si>
  <si>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</si>
  <si>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</si>
  <si>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</si>
  <si>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</si>
  <si>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</si>
  <si>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</si>
  <si>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</si>
  <si>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</si>
  <si>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</si>
  <si>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</si>
  <si>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</si>
  <si>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</si>
  <si>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</si>
  <si>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</si>
  <si>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</si>
  <si>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</si>
  <si>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</si>
  <si>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</si>
  <si>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</si>
  <si>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</si>
  <si>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</si>
  <si>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</si>
  <si>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</si>
  <si>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</si>
  <si>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</si>
  <si>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</si>
  <si>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</si>
  <si>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</si>
  <si>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</si>
  <si>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</si>
  <si>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</si>
  <si>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</si>
  <si>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</si>
  <si>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</si>
  <si>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</si>
  <si>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</si>
  <si>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</si>
  <si>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</si>
  <si>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</si>
  <si>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</si>
  <si>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</si>
  <si>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</si>
  <si>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</si>
  <si>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</si>
  <si>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</si>
  <si>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</si>
  <si>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</si>
  <si>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</si>
  <si>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</si>
  <si>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</si>
  <si>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</si>
  <si>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</si>
  <si>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</si>
  <si>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</si>
  <si>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</si>
  <si>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</si>
  <si>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</si>
  <si>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</si>
  <si>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</si>
  <si>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</si>
  <si>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</si>
  <si>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</si>
  <si>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</si>
  <si>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</si>
  <si>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</si>
  <si>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</si>
  <si>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</si>
  <si>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</si>
  <si>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</si>
  <si>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</si>
  <si>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</si>
  <si>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</si>
  <si>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</si>
  <si>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</si>
  <si>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</si>
  <si>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</si>
  <si>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</si>
  <si>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</si>
  <si>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</si>
  <si>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</si>
  <si>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</si>
  <si>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</si>
  <si>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</si>
  <si>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</si>
  <si>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</si>
  <si>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</si>
  <si>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</si>
  <si>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</si>
  <si>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</si>
  <si>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</si>
  <si>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</si>
  <si>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</si>
  <si>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</si>
  <si>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</si>
  <si>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</si>
  <si>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</si>
  <si>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</si>
  <si>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</si>
  <si>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</si>
  <si>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</si>
  <si>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</si>
  <si>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</si>
  <si>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</si>
  <si>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</si>
  <si>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</si>
  <si>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</si>
  <si>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</si>
  <si>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</si>
  <si>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</si>
  <si>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</si>
  <si>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</si>
  <si>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</si>
  <si>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</si>
  <si>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</si>
  <si>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</si>
  <si>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</si>
  <si>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</si>
  <si>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</si>
  <si>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</si>
  <si>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</si>
  <si>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</si>
  <si>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</si>
  <si>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</si>
  <si>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</si>
  <si>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</si>
  <si>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</si>
  <si>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</si>
  <si>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</si>
  <si>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</si>
  <si>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</si>
  <si>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</si>
  <si>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</si>
  <si>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</si>
  <si>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</si>
  <si>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</si>
  <si>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</si>
  <si>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</si>
  <si>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</si>
  <si>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</si>
  <si>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</si>
  <si>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</si>
  <si>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</si>
  <si>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</si>
  <si>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</si>
  <si>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</si>
  <si>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</si>
  <si>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</si>
  <si>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</si>
  <si>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</si>
  <si>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</si>
  <si>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</si>
  <si>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</si>
  <si>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</si>
  <si>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</si>
  <si>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</si>
  <si>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</si>
  <si>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</si>
  <si>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</si>
  <si>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</si>
  <si>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</si>
  <si>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</si>
  <si>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</si>
  <si>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</si>
  <si>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</si>
  <si>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</si>
  <si>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</si>
  <si>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</si>
  <si>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</si>
  <si>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</si>
  <si>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</si>
  <si>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</si>
  <si>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</si>
  <si>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</si>
  <si>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</si>
  <si>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</si>
  <si>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</si>
  <si>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</si>
  <si>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</si>
  <si>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</si>
  <si>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</si>
  <si>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</si>
  <si>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</si>
  <si>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</si>
  <si>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</si>
  <si>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</si>
  <si>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</si>
  <si>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</si>
  <si>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</si>
  <si>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</si>
  <si>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</si>
  <si>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</si>
  <si>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</si>
  <si>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</si>
  <si>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</si>
  <si>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</si>
  <si>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</si>
  <si>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</si>
  <si>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</si>
  <si>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</si>
  <si>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</si>
  <si>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</si>
  <si>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</si>
  <si>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</si>
  <si>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</si>
  <si>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</si>
  <si>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</si>
  <si>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</si>
  <si>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</si>
  <si>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</si>
  <si>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</si>
  <si>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</si>
  <si>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</si>
  <si>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</si>
  <si>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</si>
  <si>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</si>
  <si>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</si>
  <si>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</si>
  <si>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</si>
  <si>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</si>
  <si>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</si>
  <si>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</si>
  <si>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</si>
  <si>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</si>
  <si>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</si>
  <si>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</si>
  <si>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</si>
  <si>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</si>
  <si>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</si>
  <si>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</si>
  <si>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</si>
  <si>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</si>
  <si>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</si>
  <si>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</si>
  <si>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</si>
  <si>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</si>
  <si>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</si>
  <si>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</si>
  <si>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</si>
  <si>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</si>
  <si>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</si>
  <si>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</si>
  <si>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</si>
  <si>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</si>
  <si>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</si>
  <si>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</si>
  <si>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</si>
  <si>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</si>
  <si>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</si>
  <si>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</si>
  <si>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</si>
  <si>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</si>
  <si>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</si>
  <si>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</si>
  <si>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</si>
  <si>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</si>
  <si>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</si>
  <si>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</si>
  <si>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</si>
  <si>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</si>
  <si>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</si>
  <si>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</si>
  <si>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</si>
  <si>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</si>
  <si>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</si>
  <si>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</si>
  <si>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</si>
  <si>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</si>
  <si>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</si>
  <si>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</si>
  <si>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</si>
  <si>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</si>
  <si>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</si>
  <si>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</si>
  <si>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</si>
  <si>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</si>
  <si>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</si>
  <si>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</si>
  <si>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</si>
  <si>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</si>
  <si>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</si>
  <si>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</si>
  <si>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</si>
  <si>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</si>
  <si>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</si>
  <si>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</si>
  <si>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</si>
  <si>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</si>
  <si>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</si>
  <si>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</si>
  <si>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</si>
  <si>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</si>
  <si>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</si>
  <si>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</si>
  <si>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</si>
  <si>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</si>
  <si>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</si>
  <si>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</si>
  <si>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</si>
  <si>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</si>
  <si>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</si>
  <si>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</si>
  <si>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</si>
  <si>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</si>
  <si>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</si>
  <si>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</si>
  <si>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</si>
  <si>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</si>
  <si>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</si>
  <si>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</si>
  <si>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</si>
  <si>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</si>
  <si>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</si>
  <si>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</si>
  <si>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</si>
  <si>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</si>
  <si>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</si>
  <si>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</si>
  <si>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</si>
  <si>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</si>
  <si>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</si>
  <si>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</si>
  <si>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</si>
  <si>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</si>
  <si>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</si>
  <si>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</si>
  <si>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</si>
  <si>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</si>
  <si>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</si>
  <si>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</si>
  <si>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</si>
  <si>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</si>
  <si>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</si>
  <si>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</si>
  <si>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</si>
  <si>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</si>
  <si>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</si>
  <si>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</si>
  <si>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</si>
  <si>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</si>
  <si>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</si>
  <si>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</si>
  <si>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</si>
  <si>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</si>
  <si>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</si>
  <si>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</si>
  <si>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</si>
  <si>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</si>
  <si>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</si>
  <si>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</si>
  <si>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</si>
  <si>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</si>
  <si>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</si>
  <si>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</si>
  <si>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</si>
  <si>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</si>
  <si>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</si>
  <si>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</si>
  <si>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</si>
  <si>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</si>
  <si>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</si>
  <si>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</si>
  <si>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</si>
  <si>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</si>
  <si>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</si>
  <si>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</si>
  <si>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</si>
  <si>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</si>
  <si>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</si>
  <si>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</si>
  <si>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</si>
  <si>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</si>
  <si>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</si>
  <si>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</si>
  <si>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</si>
  <si>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</si>
  <si>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</si>
  <si>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</si>
  <si>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</si>
  <si>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</si>
  <si>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</si>
  <si>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</si>
  <si>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</si>
  <si>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</si>
  <si>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</si>
  <si>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</si>
  <si>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</si>
  <si>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</si>
  <si>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</si>
  <si>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</si>
  <si>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</si>
  <si>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</si>
  <si>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</si>
  <si>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</si>
  <si>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</si>
  <si>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</si>
  <si>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</si>
  <si>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</si>
  <si>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</si>
  <si>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</si>
  <si>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</si>
  <si>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</si>
  <si>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</si>
  <si>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</si>
  <si>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</si>
  <si>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</si>
  <si>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</si>
  <si>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</si>
  <si>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</si>
  <si>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</si>
  <si>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</si>
  <si>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</si>
  <si>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</si>
  <si>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</si>
  <si>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</si>
  <si>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</si>
  <si>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</si>
  <si>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</si>
  <si>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</si>
  <si>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</si>
  <si>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</si>
  <si>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</si>
  <si>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</si>
  <si>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</si>
  <si>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</si>
  <si>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</si>
  <si>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</si>
  <si>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</si>
  <si>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</si>
  <si>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</si>
  <si>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</si>
  <si>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</si>
  <si>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</si>
  <si>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</si>
  <si>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</si>
  <si>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</si>
  <si>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</si>
  <si>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</si>
  <si>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</si>
  <si>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</si>
  <si>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</si>
  <si>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</si>
  <si>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</si>
  <si>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</si>
  <si>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</si>
  <si>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</si>
  <si>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</si>
  <si>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</si>
  <si>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</si>
  <si>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</si>
  <si>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</si>
  <si>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</si>
  <si>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</si>
  <si>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</si>
  <si>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</si>
  <si>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</si>
  <si>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</si>
  <si>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</si>
  <si>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</si>
  <si>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</si>
  <si>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</si>
  <si>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</si>
  <si>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</si>
  <si>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</si>
  <si>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</si>
  <si>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</si>
  <si>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</si>
  <si>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</si>
  <si>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</si>
  <si>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</si>
  <si>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</si>
  <si>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</si>
  <si>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</si>
  <si>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</si>
  <si>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</si>
  <si>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</si>
  <si>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</si>
  <si>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</si>
  <si>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</si>
  <si>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</si>
  <si>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</si>
  <si>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</si>
  <si>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</si>
  <si>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</si>
  <si>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</si>
  <si>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</si>
  <si>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</si>
  <si>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</si>
  <si>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</si>
  <si>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</si>
  <si>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</si>
  <si>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</si>
  <si>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</si>
  <si>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</si>
  <si>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</si>
  <si>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</si>
  <si>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</si>
  <si>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</si>
  <si>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</si>
  <si>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</si>
  <si>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</si>
  <si>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</si>
  <si>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</si>
  <si>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</si>
  <si>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</si>
  <si>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</si>
  <si>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</si>
  <si>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</si>
  <si>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</si>
  <si>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</si>
  <si>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</si>
  <si>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</si>
  <si>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</si>
  <si>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</si>
  <si>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</si>
  <si>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</si>
  <si>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</si>
  <si>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</si>
  <si>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</si>
  <si>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</si>
  <si>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</si>
  <si>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</si>
  <si>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</si>
  <si>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</si>
  <si>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</si>
  <si>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</si>
  <si>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</si>
  <si>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</si>
  <si>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</si>
  <si>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</si>
  <si>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</si>
  <si>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</si>
  <si>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</si>
  <si>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</si>
  <si>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</si>
  <si>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</si>
  <si>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</si>
  <si>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</si>
  <si>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</si>
  <si>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</si>
  <si>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</si>
  <si>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</si>
  <si>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</si>
  <si>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</si>
  <si>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</si>
  <si>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</si>
  <si>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</si>
  <si>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</si>
  <si>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</si>
  <si>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</si>
  <si>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</si>
  <si>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</si>
  <si>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</si>
  <si>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</si>
  <si>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</si>
  <si>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</si>
  <si>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</si>
  <si>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</si>
  <si>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</si>
  <si>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</si>
  <si>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</si>
  <si>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</si>
  <si>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</si>
  <si>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</si>
  <si>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</si>
  <si>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</si>
  <si>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</si>
  <si>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</si>
  <si>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</si>
  <si>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</si>
  <si>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</si>
  <si>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</si>
  <si>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</si>
  <si>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</si>
  <si>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</si>
  <si>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</si>
  <si>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</si>
  <si>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</si>
  <si>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</si>
  <si>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</si>
  <si>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</si>
  <si>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</si>
  <si>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</si>
  <si>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</si>
  <si>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</si>
  <si>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</si>
  <si>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</si>
  <si>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</si>
  <si>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</si>
  <si>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</si>
  <si>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</si>
  <si>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</si>
  <si>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</si>
  <si>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</si>
  <si>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</si>
  <si>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</si>
  <si>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</si>
  <si>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</si>
  <si>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</si>
  <si>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</si>
  <si>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</si>
  <si>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</si>
  <si>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</si>
  <si>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</si>
  <si>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</si>
  <si>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</si>
  <si>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</si>
  <si>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</si>
  <si>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</si>
  <si>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</si>
  <si>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</si>
  <si>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</si>
  <si>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</si>
  <si>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</si>
  <si>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</si>
  <si>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</si>
  <si>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</si>
  <si>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</si>
  <si>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</si>
  <si>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</si>
  <si>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</si>
  <si>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</si>
  <si>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</si>
  <si>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</si>
  <si>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</si>
  <si>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</si>
  <si>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</si>
  <si>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</si>
  <si>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</si>
  <si>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</si>
  <si>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</si>
  <si>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</si>
  <si>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</si>
  <si>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</si>
  <si>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</si>
  <si>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</si>
  <si>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</si>
  <si>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</si>
  <si>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</si>
  <si>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</si>
  <si>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</si>
  <si>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</si>
  <si>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</si>
  <si>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</si>
  <si>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</si>
  <si>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</si>
  <si>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</si>
  <si>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</si>
  <si>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</si>
  <si>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</si>
  <si>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</si>
  <si>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</si>
  <si>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</si>
  <si>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</si>
  <si>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</si>
  <si>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</si>
  <si>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</si>
  <si>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</si>
  <si>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</si>
  <si>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</si>
  <si>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</si>
  <si>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</si>
  <si>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</si>
  <si>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</si>
  <si>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</si>
  <si>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</si>
  <si>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</si>
  <si>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</si>
  <si>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</si>
  <si>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</si>
  <si>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</si>
  <si>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</si>
  <si>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</si>
  <si>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</si>
  <si>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</si>
  <si>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</si>
  <si>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</si>
  <si>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</si>
  <si>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</si>
  <si>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</si>
  <si>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</si>
  <si>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</si>
  <si>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</si>
  <si>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</si>
  <si>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</si>
  <si>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</si>
  <si>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</si>
  <si>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</si>
  <si>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</si>
  <si>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</si>
  <si>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</si>
  <si>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</si>
  <si>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</si>
  <si>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</si>
  <si>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</si>
  <si>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</si>
  <si>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</si>
  <si>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</si>
  <si>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</si>
  <si>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</si>
  <si>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</si>
  <si>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</si>
  <si>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</si>
  <si>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</si>
  <si>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</si>
  <si>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</si>
  <si>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</si>
  <si>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</si>
  <si>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</si>
  <si>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</si>
  <si>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</si>
  <si>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</si>
  <si>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</si>
  <si>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</si>
  <si>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</si>
  <si>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</si>
  <si>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</si>
  <si>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</si>
  <si>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</si>
  <si>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</si>
  <si>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</si>
  <si>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</si>
  <si>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</si>
  <si>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</si>
  <si>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</si>
  <si>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</si>
  <si>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</si>
  <si>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</si>
  <si>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</si>
  <si>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</si>
  <si>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</si>
  <si>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</si>
  <si>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</si>
  <si>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</si>
  <si>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</si>
  <si>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</si>
  <si>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</si>
  <si>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</si>
  <si>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</si>
  <si>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</si>
  <si>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</si>
  <si>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</si>
  <si>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</si>
  <si>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</si>
  <si>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</si>
  <si>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</si>
  <si>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</si>
  <si>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</si>
  <si>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</si>
  <si>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</si>
  <si>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</si>
  <si>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</si>
  <si>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</si>
  <si>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</si>
  <si>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</si>
  <si>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</si>
  <si>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</si>
  <si>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</si>
  <si>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</si>
  <si>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</si>
  <si>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</si>
  <si>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</si>
  <si>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</si>
  <si>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</si>
  <si>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</si>
  <si>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</si>
  <si>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</si>
  <si>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</si>
  <si>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</si>
  <si>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</si>
  <si>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</si>
  <si>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</si>
  <si>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</si>
  <si>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</si>
  <si>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</si>
  <si>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</si>
  <si>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</si>
  <si>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</si>
  <si>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</si>
  <si>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</si>
  <si>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</si>
  <si>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</si>
  <si>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</si>
  <si>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</si>
  <si>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</si>
  <si>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</si>
  <si>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</si>
  <si>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</si>
  <si>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</si>
  <si>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</si>
  <si>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</si>
  <si>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</si>
  <si>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</si>
  <si>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</si>
  <si>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</si>
  <si>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</si>
  <si>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</si>
  <si>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</si>
  <si>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</si>
  <si>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</si>
  <si>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</si>
  <si>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</si>
  <si>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</si>
  <si>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</si>
  <si>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</si>
  <si>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</si>
  <si>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</si>
  <si>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</si>
  <si>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</si>
  <si>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</si>
  <si>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</si>
  <si>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</si>
  <si>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</si>
  <si>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</si>
  <si>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</si>
  <si>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</si>
  <si>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</si>
  <si>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</si>
  <si>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</si>
  <si>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</si>
  <si>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</si>
  <si>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</si>
  <si>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</si>
  <si>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</si>
  <si>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</si>
  <si>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</si>
  <si>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</si>
  <si>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</si>
  <si>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</si>
  <si>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</si>
  <si>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</si>
  <si>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</si>
  <si>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</si>
  <si>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</si>
  <si>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</si>
  <si>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</si>
  <si>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</si>
  <si>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</si>
  <si>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</si>
  <si>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</si>
  <si>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</si>
  <si>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</si>
  <si>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</si>
  <si>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</si>
  <si>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</si>
  <si>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</si>
  <si>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</si>
  <si>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</si>
  <si>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</si>
  <si>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</si>
  <si>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</si>
  <si>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</si>
  <si>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</si>
  <si>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</si>
  <si>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</si>
  <si>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</si>
  <si>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</si>
  <si>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</si>
  <si>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</si>
  <si>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</si>
  <si>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</si>
  <si>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</si>
  <si>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</si>
  <si>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</si>
  <si>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</si>
  <si>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</si>
  <si>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</si>
  <si>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</si>
  <si>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</si>
  <si>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</si>
  <si>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</si>
  <si>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</si>
  <si>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</si>
  <si>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</si>
  <si>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</si>
  <si>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</si>
  <si>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</si>
  <si>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</si>
  <si>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</si>
  <si>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</si>
  <si>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</si>
  <si>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</si>
  <si>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</si>
  <si>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</si>
  <si>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</si>
  <si>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</si>
  <si>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</si>
  <si>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</si>
  <si>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</si>
  <si>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</si>
  <si>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</si>
  <si>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</si>
  <si>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</si>
  <si>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</si>
  <si>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</si>
  <si>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</si>
  <si>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</si>
  <si>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</si>
  <si>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</si>
  <si>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</si>
  <si>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</si>
  <si>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</si>
  <si>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</si>
  <si>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</si>
  <si>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</si>
  <si>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</si>
  <si>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</si>
  <si>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</si>
  <si>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</si>
  <si>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</si>
  <si>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</si>
  <si>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</si>
  <si>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</si>
  <si>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</si>
  <si>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</si>
  <si>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</si>
  <si>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</si>
  <si>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</si>
  <si>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</si>
  <si>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</si>
  <si>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</si>
  <si>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</si>
  <si>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</si>
  <si>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</si>
  <si>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</si>
  <si>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</si>
  <si>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</si>
  <si>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</si>
  <si>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</si>
  <si>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</si>
  <si>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</si>
  <si>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</si>
  <si>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</si>
  <si>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</si>
  <si>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</si>
  <si>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</si>
  <si>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</si>
  <si>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</si>
  <si>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</si>
  <si>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</si>
  <si>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</si>
  <si>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</si>
  <si>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</si>
  <si>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</si>
  <si>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</si>
  <si>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</si>
  <si>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</si>
  <si>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</si>
  <si>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</si>
  <si>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</si>
  <si>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</si>
  <si>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</si>
  <si>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</si>
  <si>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</si>
  <si>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</si>
  <si>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</si>
  <si>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</si>
  <si>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</si>
  <si>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</si>
  <si>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</si>
  <si>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</si>
  <si>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</si>
  <si>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</si>
  <si>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</si>
  <si>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</si>
  <si>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</si>
  <si>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</si>
  <si>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</si>
  <si>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</si>
  <si>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</si>
  <si>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</si>
  <si>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</si>
  <si>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</si>
  <si>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</si>
  <si>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</si>
  <si>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</si>
  <si>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</si>
  <si>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</si>
  <si>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</si>
  <si>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</si>
  <si>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</si>
  <si>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</si>
  <si>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</si>
  <si>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</si>
  <si>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</si>
  <si>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</si>
  <si>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</si>
  <si>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</si>
  <si>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</si>
  <si>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</si>
  <si>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</si>
  <si>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</si>
  <si>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</si>
  <si>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</si>
  <si>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</si>
  <si>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</si>
  <si>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</si>
  <si>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</si>
  <si>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</si>
  <si>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</si>
  <si>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</si>
  <si>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</si>
  <si>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</si>
  <si>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</si>
  <si>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</si>
  <si>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</si>
  <si>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</si>
  <si>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</si>
  <si>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</si>
  <si>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</si>
  <si>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</si>
  <si>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</si>
  <si>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</si>
  <si>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</si>
  <si>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</si>
  <si>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</si>
  <si>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</si>
  <si>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</si>
  <si>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</si>
  <si>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</si>
  <si>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</si>
  <si>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</si>
  <si>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</si>
  <si>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</si>
  <si>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</si>
  <si>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</si>
  <si>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</si>
  <si>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</si>
  <si>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</si>
  <si>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</si>
  <si>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</si>
  <si>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</si>
  <si>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</si>
  <si>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</si>
  <si>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</si>
  <si>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</si>
  <si>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</si>
  <si>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</si>
  <si>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</si>
  <si>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</si>
  <si>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</si>
  <si>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</si>
  <si>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</si>
  <si>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</si>
  <si>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</si>
  <si>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</si>
  <si>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</si>
  <si>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</si>
  <si>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</si>
  <si>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</si>
  <si>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</si>
  <si>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</si>
  <si>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</si>
  <si>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</si>
  <si>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</si>
  <si>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</si>
  <si>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</si>
  <si>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</si>
  <si>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</si>
  <si>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</si>
  <si>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</si>
  <si>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</si>
  <si>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</si>
  <si>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</si>
  <si>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</si>
  <si>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</si>
  <si>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</si>
  <si>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</si>
  <si>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</si>
  <si>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</si>
  <si>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</si>
  <si>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</si>
  <si>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</si>
  <si>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</si>
  <si>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</si>
  <si>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</si>
  <si>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</si>
  <si>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</si>
  <si>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</si>
  <si>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</si>
  <si>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</si>
  <si>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</si>
  <si>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</si>
  <si>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</si>
  <si>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</si>
  <si>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</si>
  <si>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</si>
  <si>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</si>
  <si>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</si>
  <si>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</si>
  <si>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</si>
  <si>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</si>
  <si>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</si>
  <si>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</si>
  <si>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</si>
  <si>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</si>
  <si>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</si>
  <si>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</si>
  <si>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</si>
  <si>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</si>
  <si>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</si>
  <si>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</si>
  <si>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</si>
  <si>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</si>
  <si>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</si>
  <si>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</si>
  <si>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</si>
  <si>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</si>
  <si>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</si>
  <si>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</si>
  <si>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</si>
  <si>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</si>
  <si>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</si>
  <si>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</si>
  <si>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</si>
  <si>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</si>
  <si>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</si>
  <si>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</si>
  <si>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</si>
  <si>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</si>
  <si>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</si>
  <si>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</si>
  <si>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</si>
  <si>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</si>
  <si>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</si>
  <si>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</si>
  <si>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</si>
  <si>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</si>
  <si>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</si>
  <si>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</si>
  <si>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</si>
  <si>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</si>
  <si>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</si>
  <si>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</si>
  <si>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</si>
  <si>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</si>
  <si>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</si>
  <si>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</si>
  <si>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</si>
  <si>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</si>
  <si>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</si>
  <si>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</si>
  <si>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</si>
  <si>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</si>
  <si>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</si>
  <si>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</si>
  <si>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</si>
  <si>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</si>
  <si>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</si>
  <si>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</si>
  <si>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</si>
  <si>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</si>
  <si>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</si>
  <si>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</si>
  <si>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</si>
  <si>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</si>
  <si>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</si>
  <si>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</si>
  <si>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</si>
  <si>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</si>
  <si>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</si>
  <si>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</si>
  <si>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</si>
  <si>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</si>
  <si>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</si>
  <si>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</si>
  <si>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</si>
  <si>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</si>
  <si>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</si>
  <si>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</si>
  <si>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</si>
  <si>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</si>
  <si>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</si>
  <si>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</si>
  <si>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</si>
  <si>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</si>
  <si>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</si>
  <si>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</si>
  <si>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</si>
  <si>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</si>
  <si>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</si>
  <si>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</si>
  <si>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</si>
  <si>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</si>
  <si>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</si>
  <si>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</si>
  <si>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</si>
  <si>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</si>
  <si>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</si>
  <si>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</si>
  <si>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</si>
  <si>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</si>
  <si>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</si>
  <si>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</si>
  <si>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</si>
  <si>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</si>
  <si>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</si>
  <si>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</si>
  <si>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</si>
  <si>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</si>
  <si>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</si>
  <si>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</si>
  <si>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</si>
  <si>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</si>
  <si>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</si>
  <si>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</si>
  <si>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</si>
  <si>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</si>
  <si>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</si>
  <si>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</si>
  <si>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</si>
  <si>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</si>
  <si>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</si>
  <si>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</si>
  <si>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</si>
  <si>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</si>
  <si>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</si>
  <si>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</si>
  <si>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</si>
  <si>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</si>
  <si>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</si>
  <si>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</si>
  <si>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</si>
  <si>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</si>
  <si>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</si>
  <si>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</si>
  <si>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</si>
  <si>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</si>
  <si>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</si>
  <si>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</si>
  <si>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</si>
  <si>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</si>
  <si>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</si>
  <si>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</si>
  <si>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</si>
  <si>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</si>
  <si>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</si>
  <si>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</si>
  <si>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</si>
  <si>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</si>
  <si>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</si>
  <si>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</si>
  <si>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</si>
  <si>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</si>
  <si>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</si>
  <si>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</si>
  <si>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</si>
  <si>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</si>
  <si>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</si>
  <si>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</si>
  <si>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</si>
  <si>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</si>
  <si>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</si>
  <si>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</si>
  <si>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</si>
  <si>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</si>
  <si>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</si>
  <si>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</si>
  <si>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</si>
  <si>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</si>
  <si>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</si>
  <si>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</si>
  <si>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</si>
  <si>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</si>
  <si>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</si>
  <si>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</si>
  <si>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</si>
  <si>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</si>
  <si>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</si>
  <si>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</si>
  <si>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</si>
  <si>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</si>
  <si>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</si>
  <si>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</si>
  <si>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</si>
  <si>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</si>
  <si>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</si>
  <si>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</si>
  <si>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</si>
  <si>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</si>
  <si>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</si>
  <si>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</si>
  <si>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</si>
  <si>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</si>
  <si>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</si>
  <si>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</si>
  <si>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</si>
  <si>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</si>
  <si>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</si>
  <si>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</si>
  <si>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</si>
  <si>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</si>
  <si>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</si>
  <si>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</si>
  <si>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</si>
  <si>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</si>
  <si>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</si>
  <si>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</si>
  <si>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</si>
  <si>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</si>
  <si>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</si>
  <si>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</si>
  <si>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</si>
  <si>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</si>
  <si>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</si>
  <si>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</si>
  <si>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</si>
  <si>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</si>
  <si>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</si>
  <si>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</si>
  <si>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</si>
  <si>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</si>
  <si>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</si>
  <si>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</si>
  <si>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</si>
  <si>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</si>
  <si>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</si>
  <si>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</si>
  <si>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</si>
  <si>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</si>
  <si>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</si>
  <si>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</si>
  <si>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</si>
  <si>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</si>
  <si>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</si>
  <si>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</si>
  <si>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</si>
  <si>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</si>
  <si>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</si>
  <si>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</si>
  <si>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</si>
  <si>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</si>
  <si>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</si>
  <si>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</si>
  <si>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</si>
  <si>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</si>
  <si>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</si>
  <si>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</si>
  <si>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</si>
  <si>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</si>
  <si>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</si>
  <si>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</si>
  <si>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</si>
  <si>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</si>
  <si>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</si>
  <si>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</si>
  <si>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</si>
  <si>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</si>
  <si>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</si>
  <si>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</si>
  <si>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</si>
  <si>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</si>
  <si>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</si>
  <si>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</si>
  <si>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</si>
  <si>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</si>
  <si>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</si>
  <si>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</si>
  <si>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</si>
  <si>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</si>
  <si>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</si>
  <si>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</si>
  <si>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</si>
  <si>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</si>
  <si>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</si>
  <si>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</si>
  <si>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</si>
  <si>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</si>
  <si>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</si>
  <si>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</si>
  <si>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</si>
  <si>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</si>
  <si>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</si>
  <si>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</si>
  <si>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</si>
  <si>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</si>
  <si>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</si>
  <si>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</si>
  <si>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</si>
  <si>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</si>
  <si>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</si>
  <si>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</si>
  <si>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</si>
  <si>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</si>
  <si>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</si>
  <si>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</si>
  <si>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</si>
  <si>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</si>
  <si>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</si>
  <si>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</si>
  <si>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</si>
  <si>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</si>
  <si>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</si>
  <si>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</si>
  <si>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</si>
  <si>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</si>
  <si>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</si>
  <si>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</si>
  <si>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</si>
  <si>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</si>
  <si>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</si>
  <si>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</si>
  <si>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</si>
  <si>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</si>
  <si>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</si>
  <si>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</si>
  <si>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</si>
  <si>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</si>
  <si>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</si>
  <si>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</si>
  <si>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</si>
  <si>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</si>
  <si>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</si>
  <si>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</si>
  <si>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</si>
  <si>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</si>
  <si>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</si>
  <si>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</si>
  <si>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</si>
  <si>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</si>
  <si>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</si>
  <si>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</si>
  <si>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</si>
  <si>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</si>
  <si>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</si>
  <si>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</si>
  <si>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</si>
  <si>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</si>
  <si>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</si>
  <si>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</si>
  <si>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</si>
  <si>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</si>
  <si>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</si>
  <si>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</si>
  <si>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</si>
  <si>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</si>
  <si>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</si>
  <si>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</si>
  <si>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</si>
  <si>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</si>
  <si>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</si>
  <si>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</si>
  <si>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</si>
  <si>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</si>
  <si>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</si>
  <si>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</si>
  <si>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</si>
  <si>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</si>
  <si>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</si>
  <si>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</si>
  <si>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</si>
  <si>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</si>
  <si>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</si>
  <si>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</si>
  <si>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</si>
  <si>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</si>
  <si>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</si>
  <si>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</si>
  <si>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</si>
  <si>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</si>
  <si>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</si>
  <si>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</si>
  <si>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</si>
  <si>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</si>
  <si>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</si>
  <si>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</si>
  <si>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</si>
  <si>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</si>
  <si>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</si>
  <si>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</si>
  <si>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</si>
  <si>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</si>
  <si>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</si>
  <si>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</si>
  <si>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</si>
  <si>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</si>
  <si>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</si>
  <si>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</si>
  <si>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</si>
  <si>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</si>
  <si>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</si>
  <si>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</si>
  <si>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</si>
  <si>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</si>
  <si>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</si>
  <si>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</si>
  <si>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</si>
  <si>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</si>
  <si>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</si>
  <si>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</si>
  <si>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</si>
  <si>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</si>
  <si>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</si>
  <si>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</si>
  <si>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</si>
  <si>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</si>
  <si>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</si>
  <si>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</si>
  <si>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</si>
  <si>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</si>
  <si>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</si>
  <si>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</si>
  <si>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</si>
  <si>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</si>
  <si>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</si>
  <si>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</si>
  <si>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</si>
  <si>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</si>
  <si>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</si>
  <si>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</si>
  <si>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</si>
  <si>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</si>
  <si>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</si>
  <si>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</si>
  <si>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</si>
  <si>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</si>
  <si>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</si>
  <si>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</si>
  <si>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</si>
  <si>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</si>
  <si>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</si>
  <si>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</si>
  <si>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</si>
  <si>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</si>
  <si>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</si>
  <si>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</si>
  <si>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</si>
  <si>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</si>
  <si>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</si>
  <si>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</si>
  <si>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</si>
  <si>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</si>
  <si>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</si>
  <si>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</si>
  <si>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</si>
  <si>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</si>
  <si>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</si>
  <si>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</si>
  <si>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</si>
  <si>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</si>
  <si>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</si>
  <si>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</si>
  <si>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</si>
  <si>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</si>
  <si>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</si>
  <si>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</si>
  <si>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</si>
  <si>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</si>
  <si>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</si>
  <si>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</si>
  <si>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</si>
  <si>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</si>
  <si>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</si>
  <si>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</si>
  <si>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</si>
  <si>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</si>
  <si>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</si>
  <si>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</si>
  <si>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</si>
  <si>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</si>
  <si>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</si>
  <si>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</si>
  <si>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</si>
  <si>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</si>
  <si>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</si>
  <si>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</si>
  <si>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</si>
  <si>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</si>
  <si>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</si>
  <si>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</si>
  <si>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</si>
  <si>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</si>
  <si>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</si>
  <si>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</si>
  <si>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</si>
  <si>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</si>
  <si>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</si>
  <si>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</si>
  <si>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</si>
  <si>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</si>
  <si>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</si>
  <si>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</si>
  <si>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</si>
  <si>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</si>
  <si>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</si>
  <si>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</si>
  <si>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</si>
  <si>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</si>
  <si>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</si>
  <si>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</si>
  <si>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</si>
  <si>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</si>
  <si>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</si>
  <si>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</si>
  <si>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</si>
  <si>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</si>
  <si>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</si>
  <si>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</si>
  <si>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</si>
  <si>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</si>
  <si>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</si>
  <si>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</si>
  <si>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</si>
  <si>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</si>
  <si>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</si>
  <si>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</si>
  <si>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</si>
  <si>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</si>
  <si>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</si>
  <si>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</si>
  <si>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</si>
  <si>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</si>
  <si>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</si>
  <si>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</si>
  <si>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</si>
  <si>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</si>
  <si>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</si>
  <si>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</si>
  <si>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</si>
  <si>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</si>
  <si>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</si>
  <si>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</si>
  <si>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</si>
  <si>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</si>
  <si>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</si>
  <si>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</si>
  <si>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</si>
  <si>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</si>
  <si>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</si>
  <si>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</si>
  <si>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</si>
  <si>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</si>
  <si>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</si>
  <si>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</si>
  <si>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</si>
  <si>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</si>
  <si>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</si>
  <si>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</si>
  <si>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</si>
  <si>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</si>
  <si>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</si>
  <si>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</si>
  <si>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</si>
  <si>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</si>
  <si>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</si>
  <si>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</si>
  <si>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</si>
  <si>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</si>
  <si>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</si>
  <si>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</si>
  <si>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</si>
  <si>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</si>
  <si>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</si>
  <si>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</si>
  <si>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</si>
  <si>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</si>
  <si>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</si>
  <si>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</si>
  <si>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</si>
  <si>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</si>
  <si>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</si>
  <si>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</si>
  <si>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</si>
  <si>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</si>
  <si>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</si>
  <si>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</si>
  <si>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</si>
  <si>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</si>
  <si>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</si>
  <si>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</si>
  <si>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</si>
  <si>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</si>
  <si>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</si>
  <si>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</si>
  <si>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</si>
  <si>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</si>
  <si>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</si>
  <si>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</si>
  <si>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</si>
  <si>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</si>
  <si>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</si>
  <si>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</si>
  <si>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</si>
  <si>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</si>
  <si>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</si>
  <si>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</si>
  <si>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</si>
  <si>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</si>
  <si>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</si>
  <si>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</si>
  <si>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</si>
  <si>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</si>
  <si>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</si>
  <si>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</si>
  <si>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</si>
  <si>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</si>
  <si>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</si>
  <si>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</si>
  <si>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</si>
  <si>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</si>
  <si>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</si>
  <si>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</si>
  <si>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</si>
  <si>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</si>
  <si>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</si>
  <si>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</si>
  <si>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</si>
  <si>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</si>
  <si>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</si>
  <si>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</si>
  <si>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</si>
  <si>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</si>
  <si>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</si>
  <si>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</si>
  <si>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</si>
  <si>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</si>
  <si>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</si>
  <si>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</si>
  <si>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</si>
  <si>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</si>
  <si>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</si>
  <si>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</si>
  <si>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</si>
  <si>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</si>
  <si>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</si>
  <si>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</si>
  <si>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</si>
  <si>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</si>
  <si>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</si>
  <si>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</si>
  <si>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</si>
  <si>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</si>
  <si>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</si>
  <si>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</si>
  <si>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</si>
  <si>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</si>
  <si>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</si>
  <si>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</si>
  <si>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</si>
  <si>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</si>
  <si>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</si>
  <si>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</si>
  <si>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</si>
  <si>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</si>
  <si>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</si>
  <si>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</si>
  <si>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</si>
  <si>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</si>
  <si>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</si>
  <si>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</si>
  <si>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</si>
  <si>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</si>
  <si>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</si>
  <si>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</si>
  <si>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</si>
  <si>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</si>
  <si>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</si>
  <si>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</si>
  <si>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</si>
  <si>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</si>
  <si>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</si>
  <si>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</si>
  <si>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</si>
  <si>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</si>
  <si>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</si>
  <si>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</si>
  <si>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</si>
  <si>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</si>
  <si>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</si>
  <si>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</si>
  <si>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</si>
  <si>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</si>
  <si>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</si>
  <si>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</si>
  <si>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</si>
  <si>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</si>
  <si>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</si>
  <si>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</si>
  <si>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</si>
  <si>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</si>
  <si>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</si>
  <si>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</si>
  <si>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</si>
  <si>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</si>
  <si>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</si>
  <si>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</si>
  <si>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</si>
  <si>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</si>
  <si>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</si>
  <si>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</si>
  <si>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</si>
  <si>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</si>
  <si>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</si>
  <si>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</si>
  <si>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</si>
  <si>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</si>
  <si>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</si>
  <si>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</si>
  <si>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</si>
  <si>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</si>
  <si>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</si>
  <si>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</si>
  <si>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</si>
  <si>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</si>
  <si>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</si>
  <si>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</si>
  <si>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</si>
  <si>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</si>
  <si>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</si>
  <si>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</si>
  <si>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</si>
  <si>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</si>
  <si>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</si>
  <si>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</si>
  <si>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</si>
  <si>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</si>
  <si>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</si>
  <si>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</si>
  <si>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</si>
  <si>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</si>
  <si>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</si>
  <si>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</si>
  <si>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</si>
  <si>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</si>
  <si>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</si>
  <si>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</si>
  <si>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</si>
  <si>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</si>
  <si>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</si>
  <si>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</si>
  <si>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</si>
  <si>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</si>
  <si>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</si>
  <si>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</si>
  <si>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</si>
  <si>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</si>
  <si>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</si>
  <si>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</si>
  <si>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</si>
  <si>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</si>
  <si>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</si>
  <si>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</si>
  <si>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</si>
  <si>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</si>
  <si>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</si>
  <si>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</si>
  <si>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</si>
  <si>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</si>
  <si>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</si>
  <si>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</si>
  <si>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</si>
  <si>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</si>
  <si>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</si>
  <si>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</si>
  <si>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</si>
  <si>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</si>
  <si>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</si>
  <si>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</si>
  <si>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</si>
  <si>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</si>
  <si>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</si>
  <si>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</si>
  <si>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</si>
  <si>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</si>
  <si>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</si>
  <si>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</si>
  <si>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</si>
  <si>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</si>
  <si>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</si>
  <si>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</si>
  <si>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</si>
  <si>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</si>
  <si>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</si>
  <si>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</si>
  <si>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</si>
  <si>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</si>
  <si>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</si>
  <si>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</si>
  <si>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</si>
  <si>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</si>
  <si>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</si>
  <si>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</si>
  <si>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</si>
  <si>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</si>
  <si>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</si>
  <si>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</si>
  <si>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</si>
  <si>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</si>
  <si>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</si>
  <si>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</si>
  <si>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</si>
  <si>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</si>
  <si>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</si>
  <si>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</si>
  <si>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</si>
  <si>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</si>
  <si>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</si>
  <si>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</si>
  <si>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</si>
  <si>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</si>
  <si>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</si>
  <si>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</si>
  <si>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</si>
  <si>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</si>
  <si>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</si>
  <si>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</si>
  <si>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</si>
  <si>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</si>
  <si>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</si>
  <si>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</si>
  <si>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</si>
  <si>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</si>
  <si>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</si>
  <si>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</si>
  <si>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</si>
  <si>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</si>
  <si>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</si>
  <si>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</si>
  <si>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</si>
  <si>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</si>
  <si>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</si>
  <si>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</si>
  <si>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</si>
  <si>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</si>
  <si>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</si>
  <si>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</si>
  <si>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</si>
  <si>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</si>
  <si>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</si>
  <si>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</si>
  <si>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</si>
  <si>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</si>
  <si>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</si>
  <si>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</si>
  <si>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</si>
  <si>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</si>
  <si>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</si>
  <si>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</si>
  <si>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</si>
  <si>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</si>
  <si>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</si>
  <si>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</si>
  <si>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</si>
  <si>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</si>
  <si>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</si>
  <si>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</si>
  <si>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</si>
  <si>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</si>
  <si>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</si>
  <si>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</si>
  <si>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</si>
  <si>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</si>
  <si>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</si>
  <si>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</si>
  <si>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</si>
  <si>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</si>
  <si>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</si>
  <si>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</si>
  <si>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</si>
  <si>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</si>
  <si>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</si>
  <si>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</si>
  <si>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</si>
  <si>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</si>
  <si>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</si>
  <si>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</si>
  <si>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</si>
  <si>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</si>
  <si>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</si>
  <si>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</si>
  <si>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</si>
  <si>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</si>
  <si>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</si>
  <si>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</si>
  <si>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</si>
  <si>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</si>
  <si>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</si>
  <si>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</si>
  <si>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</si>
  <si>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</si>
  <si>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</si>
  <si>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</si>
  <si>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</si>
  <si>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</si>
  <si>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</si>
  <si>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</si>
  <si>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</si>
  <si>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</si>
  <si>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</si>
  <si>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</si>
  <si>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</si>
  <si>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</si>
  <si>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</si>
  <si>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</si>
  <si>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</si>
  <si>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</si>
  <si>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</si>
  <si>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</si>
  <si>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</si>
  <si>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</si>
  <si>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</si>
  <si>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</si>
  <si>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</si>
  <si>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</si>
  <si>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</si>
  <si>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</si>
  <si>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</si>
  <si>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</si>
  <si>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</si>
  <si>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</si>
  <si>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</si>
  <si>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</si>
  <si>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</si>
  <si>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</si>
  <si>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</si>
  <si>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</si>
  <si>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</si>
  <si>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</si>
  <si>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</si>
  <si>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</si>
  <si>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</si>
  <si>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</si>
  <si>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</si>
  <si>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</si>
  <si>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</si>
  <si>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</si>
  <si>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</si>
  <si>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</si>
  <si>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</si>
  <si>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</si>
  <si>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</si>
  <si>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</si>
  <si>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</si>
  <si>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</si>
  <si>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</si>
  <si>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</si>
  <si>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</si>
  <si>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</si>
  <si>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</si>
  <si>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</si>
  <si>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</si>
  <si>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</si>
  <si>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</si>
  <si>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</si>
  <si>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</si>
  <si>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</si>
  <si>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</si>
  <si>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</si>
  <si>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</si>
  <si>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</si>
  <si>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</si>
  <si>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</si>
  <si>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</si>
  <si>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</si>
  <si>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</si>
  <si>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</si>
  <si>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</si>
  <si>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</si>
  <si>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</si>
  <si>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</si>
  <si>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</si>
  <si>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</si>
  <si>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</si>
  <si>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</si>
  <si>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</si>
  <si>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</si>
  <si>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</si>
  <si>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</si>
  <si>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</si>
  <si>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</si>
  <si>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</si>
  <si>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</si>
  <si>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</si>
  <si>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</si>
  <si>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</si>
  <si>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</si>
  <si>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</si>
  <si>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</si>
  <si>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</si>
  <si>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</si>
  <si>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</si>
  <si>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</si>
  <si>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</si>
  <si>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</si>
  <si>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</si>
  <si>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</si>
  <si>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</si>
  <si>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</si>
  <si>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</si>
  <si>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</si>
  <si>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</si>
  <si>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</si>
  <si>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</si>
  <si>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</si>
  <si>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</si>
  <si>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</si>
  <si>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</si>
  <si>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</si>
  <si>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</si>
  <si>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</si>
  <si>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</si>
  <si>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</si>
  <si>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</si>
  <si>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</si>
  <si>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</si>
  <si>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</si>
  <si>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</si>
  <si>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</si>
  <si>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</si>
  <si>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</si>
  <si>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</si>
  <si>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</si>
  <si>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</si>
  <si>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</si>
  <si>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</si>
  <si>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</si>
  <si>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</si>
  <si>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</si>
  <si>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</si>
  <si>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</si>
  <si>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</si>
  <si>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</si>
  <si>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</si>
  <si>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</si>
  <si>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</si>
  <si>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</si>
  <si>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</si>
  <si>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</si>
  <si>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</si>
  <si>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</si>
  <si>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</si>
  <si>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</si>
  <si>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</si>
  <si>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</si>
  <si>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</si>
  <si>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</si>
  <si>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</si>
  <si>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</si>
  <si>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</si>
  <si>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</si>
  <si>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</si>
  <si>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</si>
  <si>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</si>
  <si>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</si>
  <si>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</si>
  <si>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</si>
  <si>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</si>
  <si>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</si>
  <si>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</si>
  <si>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</si>
  <si>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</si>
  <si>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</si>
  <si>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</si>
  <si>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</si>
  <si>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</si>
  <si>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</si>
  <si>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</si>
  <si>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</si>
  <si>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</si>
  <si>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</si>
  <si>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</si>
  <si>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</si>
  <si>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</si>
  <si>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</si>
  <si>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</si>
  <si>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</si>
  <si>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</si>
  <si>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</si>
  <si>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</si>
  <si>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</si>
  <si>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</si>
  <si>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</si>
  <si>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</si>
  <si>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</si>
  <si>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</si>
  <si>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</si>
  <si>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</si>
  <si>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</si>
  <si>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</si>
  <si>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</si>
  <si>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</si>
  <si>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</si>
  <si>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</si>
  <si>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</si>
  <si>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</si>
  <si>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</si>
  <si>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</si>
  <si>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</si>
  <si>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</si>
  <si>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</si>
  <si>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</si>
  <si>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</si>
  <si>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</si>
  <si>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</si>
  <si>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</si>
  <si>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</si>
  <si>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</si>
  <si>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</si>
  <si>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</si>
  <si>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</si>
  <si>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</si>
  <si>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</si>
  <si>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</si>
  <si>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</si>
  <si>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</si>
  <si>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</si>
  <si>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</si>
  <si>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</si>
  <si>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</si>
  <si>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</si>
  <si>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</si>
  <si>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</si>
  <si>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</si>
  <si>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</si>
  <si>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</si>
  <si>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</si>
  <si>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</si>
  <si>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</si>
  <si>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</si>
  <si>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</si>
  <si>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</si>
  <si>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</si>
  <si>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</si>
  <si>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</si>
  <si>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</si>
  <si>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</si>
  <si>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</si>
  <si>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</si>
  <si>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</si>
  <si>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</si>
  <si>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</si>
  <si>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</si>
  <si>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</si>
  <si>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</si>
  <si>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</si>
  <si>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</si>
  <si>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</si>
  <si>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</si>
  <si>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</si>
  <si>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</si>
  <si>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</si>
  <si>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</si>
  <si>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</si>
  <si>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</si>
  <si>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</si>
  <si>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</si>
  <si>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</si>
  <si>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</si>
  <si>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</si>
  <si>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</si>
  <si>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</si>
  <si>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</si>
  <si>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</si>
  <si>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</si>
  <si>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</si>
  <si>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</si>
  <si>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</si>
  <si>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</si>
  <si>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</si>
  <si>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</si>
  <si>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</si>
  <si>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</si>
  <si>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</si>
  <si>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</si>
  <si>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</si>
  <si>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</si>
  <si>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</si>
  <si>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</si>
  <si>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</si>
  <si>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</si>
  <si>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</si>
  <si>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</si>
  <si>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</si>
  <si>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</si>
  <si>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</si>
  <si>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</si>
  <si>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</si>
  <si>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</si>
  <si>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</si>
  <si>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</si>
  <si>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</si>
  <si>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</si>
  <si>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</si>
  <si>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</si>
  <si>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</si>
  <si>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</si>
  <si>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</si>
  <si>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</si>
  <si>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</si>
  <si>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</si>
  <si>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</si>
  <si>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</si>
  <si>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</si>
  <si>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</si>
  <si>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</si>
  <si>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</si>
  <si>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</si>
  <si>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</si>
  <si>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</si>
  <si>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</si>
  <si>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</si>
  <si>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</si>
  <si>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</si>
  <si>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</si>
  <si>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</si>
  <si>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</si>
  <si>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</si>
  <si>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</si>
  <si>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</si>
  <si>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</si>
  <si>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</si>
  <si>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</si>
  <si>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</si>
  <si>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</si>
  <si>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</si>
  <si>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</si>
  <si>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</si>
  <si>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</si>
  <si>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</si>
  <si>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</si>
  <si>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</si>
  <si>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</si>
  <si>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</si>
  <si>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</si>
  <si>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</si>
  <si>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</si>
  <si>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</si>
  <si>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</si>
  <si>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</si>
  <si>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</si>
  <si>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</si>
  <si>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</si>
  <si>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</si>
  <si>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</si>
  <si>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</si>
  <si>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</si>
  <si>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</si>
  <si>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</si>
  <si>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</si>
  <si>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</si>
  <si>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</si>
  <si>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</si>
  <si>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</si>
  <si>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</si>
  <si>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</si>
  <si>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</si>
  <si>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</si>
  <si>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</si>
  <si>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</si>
  <si>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</si>
  <si>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</si>
  <si>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</si>
  <si>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</si>
  <si>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</si>
  <si>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</si>
  <si>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</si>
  <si>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</si>
  <si>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</si>
  <si>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</si>
  <si>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</si>
  <si>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</si>
  <si>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</si>
  <si>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</si>
  <si>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</si>
  <si>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</si>
  <si>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</si>
  <si>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</si>
  <si>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</si>
  <si>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</si>
  <si>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</si>
  <si>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</si>
  <si>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</si>
  <si>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</si>
  <si>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</si>
  <si>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</si>
  <si>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</si>
  <si>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</si>
  <si>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</si>
  <si>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</si>
  <si>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</si>
  <si>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</si>
  <si>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</si>
  <si>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</si>
  <si>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</si>
  <si>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</si>
  <si>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</si>
  <si>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</si>
  <si>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</si>
  <si>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</si>
  <si>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</si>
  <si>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</si>
  <si>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</si>
  <si>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</si>
  <si>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</si>
  <si>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</si>
  <si>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</si>
  <si>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</si>
  <si>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</si>
  <si>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</si>
  <si>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</si>
  <si>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</si>
  <si>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</si>
  <si>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</si>
  <si>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</si>
  <si>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</si>
  <si>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</si>
  <si>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</si>
  <si>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</si>
  <si>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</si>
  <si>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</si>
  <si>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</si>
  <si>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</si>
  <si>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</si>
  <si>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</si>
  <si>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</si>
  <si>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</si>
  <si>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</si>
  <si>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</si>
  <si>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</si>
  <si>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</si>
  <si>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</si>
  <si>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</si>
  <si>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</si>
  <si>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</si>
  <si>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</si>
  <si>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</si>
  <si>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</si>
  <si>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</si>
  <si>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</si>
  <si>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</si>
  <si>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</si>
  <si>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</si>
  <si>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</si>
  <si>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</si>
  <si>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</si>
  <si>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</si>
  <si>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</si>
  <si>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</si>
  <si>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</si>
  <si>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</si>
  <si>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</si>
  <si>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</si>
  <si>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</si>
  <si>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</si>
  <si>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</si>
  <si>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</si>
  <si>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</si>
  <si>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</si>
  <si>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</si>
  <si>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</si>
  <si>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</si>
  <si>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</si>
  <si>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</si>
  <si>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</si>
  <si>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</si>
  <si>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</si>
  <si>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</si>
  <si>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</si>
  <si>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</si>
  <si>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</si>
  <si>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</si>
  <si>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</si>
  <si>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</si>
  <si>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</si>
  <si>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</si>
  <si>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</si>
  <si>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</si>
  <si>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</si>
  <si>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</si>
  <si>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</si>
  <si>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</si>
  <si>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</si>
  <si>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</si>
  <si>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</si>
  <si>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</si>
  <si>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</si>
  <si>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</si>
  <si>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</si>
  <si>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</si>
  <si>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</si>
  <si>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</si>
  <si>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</si>
  <si>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</si>
  <si>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</si>
  <si>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</si>
  <si>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</si>
  <si>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</si>
  <si>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</si>
  <si>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</si>
  <si>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</si>
  <si>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</si>
  <si>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</si>
  <si>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</si>
  <si>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</si>
  <si>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</si>
  <si>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</si>
  <si>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</si>
  <si>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</si>
  <si>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</si>
  <si>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</si>
  <si>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</si>
  <si>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</si>
  <si>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</si>
  <si>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</si>
  <si>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</si>
  <si>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</si>
  <si>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</si>
  <si>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</si>
  <si>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</si>
  <si>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</si>
  <si>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</si>
  <si>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</si>
  <si>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</si>
  <si>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</si>
  <si>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</si>
  <si>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</si>
  <si>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</si>
  <si>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</si>
  <si>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</si>
  <si>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</si>
  <si>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</si>
  <si>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</si>
  <si>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</si>
  <si>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</si>
  <si>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</si>
  <si>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</si>
  <si>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</si>
  <si>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</si>
  <si>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</si>
  <si>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</si>
  <si>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</si>
  <si>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</si>
  <si>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</si>
  <si>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</si>
  <si>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</si>
  <si>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</si>
  <si>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</si>
  <si>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</si>
  <si>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</si>
  <si>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</si>
  <si>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</si>
  <si>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</si>
  <si>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</si>
  <si>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</si>
  <si>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</si>
  <si>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</si>
  <si>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</si>
  <si>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</si>
  <si>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</si>
  <si>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</si>
  <si>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</si>
  <si>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</si>
  <si>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</si>
  <si>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</si>
  <si>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</si>
  <si>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</si>
  <si>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</si>
  <si>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</si>
  <si>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</si>
  <si>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</si>
  <si>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</si>
  <si>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</si>
  <si>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</si>
  <si>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</si>
  <si>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</si>
  <si>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</si>
  <si>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</si>
  <si>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</si>
  <si>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</si>
  <si>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</si>
  <si>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</si>
  <si>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</si>
  <si>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</si>
  <si>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</si>
  <si>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</si>
  <si>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</si>
  <si>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</si>
  <si>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</si>
  <si>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</si>
  <si>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</si>
  <si>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</si>
  <si>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</si>
  <si>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</si>
  <si>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</si>
  <si>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</si>
  <si>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</si>
  <si>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</si>
  <si>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</si>
  <si>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</si>
  <si>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</si>
  <si>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</si>
  <si>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</si>
  <si>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</si>
  <si>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</si>
  <si>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</si>
  <si>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</si>
  <si>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</si>
  <si>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</si>
  <si>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</si>
  <si>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</si>
  <si>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</si>
  <si>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</si>
  <si>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</si>
  <si>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</si>
  <si>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</si>
  <si>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</si>
  <si>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</si>
  <si>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</si>
  <si>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</si>
  <si>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</si>
  <si>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</si>
  <si>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</si>
  <si>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</si>
  <si>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</si>
  <si>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</si>
  <si>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</si>
  <si>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</si>
  <si>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</si>
  <si>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</si>
  <si>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</si>
  <si>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</si>
  <si>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</si>
  <si>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</si>
  <si>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</si>
  <si>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</si>
  <si>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</si>
  <si>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</si>
  <si>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</si>
  <si>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</si>
  <si>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</si>
  <si>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</si>
  <si>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</si>
  <si>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</si>
  <si>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</si>
  <si>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</si>
  <si>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</si>
  <si>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</si>
  <si>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</si>
  <si>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</si>
  <si>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</si>
  <si>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</si>
  <si>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</si>
  <si>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</si>
  <si>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</si>
  <si>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</si>
  <si>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</si>
  <si>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</si>
  <si>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</si>
  <si>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</si>
  <si>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</si>
  <si>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</si>
  <si>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</si>
  <si>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</si>
  <si>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</si>
  <si>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</si>
  <si>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</si>
  <si>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</si>
  <si>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</si>
  <si>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</si>
  <si>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</si>
  <si>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</si>
  <si>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</si>
  <si>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</si>
  <si>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</si>
  <si>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</si>
  <si>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</si>
  <si>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</si>
  <si>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</si>
  <si>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</si>
  <si>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</si>
  <si>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</si>
  <si>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</si>
  <si>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</si>
  <si>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</si>
  <si>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</si>
  <si>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</si>
  <si>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</si>
  <si>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</si>
  <si>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</si>
  <si>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</si>
  <si>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</si>
  <si>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</si>
  <si>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</si>
  <si>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</si>
  <si>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</si>
  <si>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</si>
  <si>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</si>
  <si>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</si>
  <si>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</si>
  <si>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</si>
  <si>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</si>
  <si>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</si>
  <si>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</si>
  <si>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</si>
  <si>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</si>
  <si>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</si>
  <si>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</si>
  <si>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</si>
  <si>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</si>
  <si>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</si>
  <si>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</si>
  <si>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</si>
  <si>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</si>
  <si>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</si>
  <si>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</si>
  <si>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</si>
  <si>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</si>
  <si>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</si>
  <si>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</si>
  <si>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</si>
  <si>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</si>
  <si>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</si>
  <si>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</si>
  <si>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</si>
  <si>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</si>
  <si>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</si>
  <si>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</si>
  <si>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</si>
  <si>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</si>
  <si>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</si>
  <si>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</si>
  <si>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</si>
  <si>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</si>
  <si>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</si>
  <si>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</si>
  <si>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</si>
  <si>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</si>
  <si>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</si>
  <si>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</si>
  <si>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</si>
  <si>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</si>
  <si>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</si>
  <si>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</si>
  <si>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</si>
  <si>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</si>
  <si>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</si>
  <si>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</si>
  <si>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</si>
  <si>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</si>
  <si>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</si>
  <si>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</si>
  <si>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</si>
  <si>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</si>
  <si>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</si>
  <si>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</si>
  <si>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</si>
  <si>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</si>
  <si>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</si>
  <si>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</si>
  <si>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</si>
  <si>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</si>
  <si>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</si>
  <si>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</si>
  <si>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</si>
  <si>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</si>
  <si>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</si>
  <si>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</si>
  <si>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</si>
  <si>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</si>
  <si>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</si>
  <si>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</si>
  <si>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</si>
  <si>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</si>
  <si>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</si>
  <si>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</si>
  <si>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</si>
  <si>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</si>
  <si>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</si>
  <si>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</si>
  <si>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</si>
  <si>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</si>
  <si>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</si>
  <si>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</si>
  <si>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</si>
  <si>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</si>
  <si>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</si>
  <si>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</si>
  <si>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</si>
  <si>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</si>
  <si>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</si>
  <si>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</si>
  <si>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</si>
  <si>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</si>
  <si>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</si>
  <si>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</si>
  <si>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</si>
  <si>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</si>
  <si>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</si>
  <si>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</si>
  <si>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</si>
  <si>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</si>
  <si>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</si>
  <si>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</si>
  <si>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</si>
  <si>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</si>
  <si>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</si>
  <si>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</si>
  <si>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</si>
  <si>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</si>
  <si>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</si>
  <si>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</si>
  <si>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</si>
  <si>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</si>
  <si>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</si>
  <si>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</si>
  <si>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</si>
  <si>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</si>
  <si>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</si>
  <si>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</si>
  <si>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</si>
  <si>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</si>
  <si>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</si>
  <si>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</si>
  <si>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</si>
  <si>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</si>
  <si>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</si>
  <si>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</si>
  <si>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</si>
  <si>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</si>
  <si>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</si>
  <si>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</si>
  <si>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</si>
  <si>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</si>
  <si>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</si>
  <si>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</si>
  <si>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</si>
  <si>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</si>
  <si>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</si>
  <si>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</si>
  <si>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</si>
  <si>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</si>
  <si>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</si>
  <si>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</si>
  <si>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</si>
  <si>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</si>
  <si>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</si>
  <si>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</si>
  <si>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</si>
  <si>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</si>
  <si>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</si>
  <si>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</si>
  <si>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</si>
  <si>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</si>
  <si>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</si>
  <si>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</si>
  <si>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</si>
  <si>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</si>
  <si>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</si>
  <si>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</si>
  <si>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</si>
  <si>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</si>
  <si>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</si>
  <si>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</si>
  <si>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</si>
  <si>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</si>
  <si>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</si>
  <si>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</si>
  <si>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</si>
  <si>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</si>
  <si>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</si>
  <si>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</si>
  <si>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</si>
  <si>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</si>
  <si>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</si>
  <si>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</si>
  <si>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</si>
  <si>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</si>
  <si>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</si>
  <si>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</si>
  <si>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</si>
  <si>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</si>
  <si>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</si>
  <si>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</si>
  <si>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</si>
  <si>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</si>
  <si>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</si>
  <si>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</si>
  <si>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</si>
  <si>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</si>
  <si>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</si>
  <si>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</si>
  <si>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</si>
  <si>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</si>
  <si>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</si>
  <si>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</si>
  <si>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</si>
  <si>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</si>
  <si>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</si>
  <si>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</si>
  <si>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</si>
  <si>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</si>
  <si>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</si>
  <si>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</si>
  <si>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</si>
  <si>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</si>
  <si>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</si>
  <si>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</si>
  <si>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</si>
  <si>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</si>
  <si>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</si>
  <si>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</si>
  <si>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</si>
  <si>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</si>
  <si>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</si>
  <si>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</si>
  <si>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</si>
  <si>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</si>
  <si>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</si>
  <si>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</si>
  <si>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</si>
  <si>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</si>
  <si>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</si>
  <si>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</si>
  <si>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</si>
  <si>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</si>
  <si>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</si>
  <si>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</si>
  <si>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</si>
  <si>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</si>
  <si>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</si>
  <si>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</si>
  <si>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</si>
  <si>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</si>
  <si>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</si>
  <si>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</si>
  <si>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</si>
  <si>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</si>
  <si>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</si>
  <si>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</si>
  <si>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</si>
  <si>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</si>
  <si>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</si>
  <si>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</si>
  <si>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</si>
  <si>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</si>
  <si>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</si>
  <si>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</si>
  <si>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</si>
  <si>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</si>
  <si>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</si>
  <si>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</si>
  <si>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</si>
  <si>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</si>
  <si>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</si>
  <si>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</si>
  <si>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</si>
  <si>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</si>
  <si>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</si>
  <si>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</si>
  <si>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</si>
  <si>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</si>
  <si>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</si>
  <si>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</si>
  <si>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</si>
  <si>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</si>
  <si>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</si>
  <si>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</si>
  <si>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</si>
  <si>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</si>
  <si>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</si>
  <si>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</si>
  <si>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</si>
  <si>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</si>
  <si>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</si>
  <si>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</si>
  <si>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</si>
  <si>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</si>
  <si>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</si>
  <si>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</si>
  <si>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</si>
  <si>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</si>
  <si>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</si>
  <si>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</si>
  <si>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</si>
  <si>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</si>
  <si>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</si>
  <si>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</si>
  <si>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</si>
  <si>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</si>
  <si>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</si>
  <si>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</si>
  <si>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</si>
  <si>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</si>
  <si>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</si>
  <si>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</si>
  <si>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</si>
  <si>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</si>
  <si>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</si>
  <si>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</si>
  <si>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</si>
  <si>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</si>
  <si>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</si>
  <si>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</si>
  <si>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</si>
  <si>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</si>
  <si>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</si>
  <si>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</si>
  <si>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</si>
  <si>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</si>
  <si>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</si>
  <si>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</si>
  <si>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</si>
  <si>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</si>
  <si>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</si>
  <si>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</si>
  <si>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</si>
  <si>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</si>
  <si>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</si>
  <si>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</si>
  <si>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</si>
  <si>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</si>
  <si>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</si>
  <si>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</si>
  <si>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</si>
  <si>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</si>
  <si>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</si>
  <si>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</si>
  <si>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</si>
  <si>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</si>
  <si>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</si>
  <si>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</si>
  <si>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</si>
  <si>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</si>
  <si>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</si>
  <si>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</si>
  <si>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</si>
  <si>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</si>
  <si>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</si>
  <si>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</si>
  <si>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</si>
  <si>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</si>
  <si>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</si>
  <si>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</si>
  <si>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</si>
  <si>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</si>
  <si>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</si>
  <si>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</si>
  <si>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</si>
  <si>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</si>
  <si>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</si>
  <si>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</si>
  <si>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</si>
  <si>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</si>
  <si>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</si>
  <si>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</si>
  <si>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</si>
  <si>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</si>
  <si>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</si>
  <si>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</si>
  <si>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</si>
  <si>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</si>
  <si>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</si>
  <si>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</si>
  <si>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</si>
  <si>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</si>
  <si>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</si>
  <si>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</si>
  <si>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</si>
  <si>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</si>
  <si>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</si>
  <si>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</si>
  <si>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</si>
  <si>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</si>
  <si>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</si>
  <si>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</si>
  <si>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</si>
  <si>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</si>
  <si>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</si>
  <si>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</si>
  <si>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</si>
  <si>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</si>
  <si>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</si>
  <si>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</si>
  <si>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</si>
  <si>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</si>
  <si>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</si>
  <si>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</si>
  <si>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</si>
  <si>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</si>
  <si>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</si>
  <si>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</si>
  <si>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</si>
  <si>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</si>
  <si>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</si>
  <si>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</si>
  <si>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</si>
  <si>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</si>
  <si>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</si>
  <si>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</si>
  <si>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</si>
  <si>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</si>
  <si>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</si>
  <si>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</si>
  <si>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</si>
  <si>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</si>
  <si>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</si>
  <si>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</si>
  <si>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</si>
  <si>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</si>
  <si>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</si>
  <si>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</si>
  <si>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</si>
  <si>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</si>
  <si>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</si>
  <si>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</si>
  <si>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</si>
  <si>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</si>
  <si>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</si>
  <si>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</si>
  <si>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</si>
  <si>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</si>
  <si>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</si>
  <si>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</si>
  <si>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</si>
  <si>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</si>
  <si>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</si>
  <si>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</si>
  <si>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</si>
  <si>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</si>
  <si>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</si>
  <si>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</si>
  <si>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</si>
  <si>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</si>
  <si>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</si>
  <si>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</si>
  <si>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</si>
  <si>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</si>
  <si>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</si>
  <si>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</si>
  <si>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</si>
  <si>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</si>
  <si>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</si>
  <si>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</si>
  <si>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</si>
  <si>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</si>
  <si>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</si>
  <si>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</si>
  <si>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</si>
  <si>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</si>
  <si>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</si>
  <si>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</si>
  <si>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</si>
  <si>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</si>
  <si>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</si>
  <si>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</si>
  <si>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</si>
  <si>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</si>
  <si>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</si>
  <si>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</si>
  <si>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</si>
  <si>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</si>
  <si>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</si>
  <si>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</si>
  <si>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</si>
  <si>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</si>
  <si>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</si>
  <si>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</si>
  <si>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</si>
  <si>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</si>
  <si>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</si>
  <si>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</si>
  <si>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</si>
  <si>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</si>
  <si>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</si>
  <si>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</si>
  <si>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</si>
  <si>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</si>
  <si>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</si>
  <si>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</si>
  <si>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</si>
  <si>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</si>
  <si>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</si>
  <si>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</si>
  <si>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</si>
  <si>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</si>
  <si>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</si>
  <si>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</si>
  <si>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</si>
  <si>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</si>
  <si>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</si>
  <si>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</si>
  <si>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</si>
  <si>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</si>
  <si>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</si>
  <si>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</si>
  <si>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</si>
  <si>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</si>
  <si>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</si>
  <si>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</si>
  <si>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</si>
  <si>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</si>
  <si>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</si>
  <si>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</si>
  <si>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</si>
  <si>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</si>
  <si>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</si>
  <si>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</si>
  <si>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</si>
  <si>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</si>
  <si>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</si>
  <si>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</si>
  <si>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</si>
  <si>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</si>
  <si>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</si>
  <si>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</si>
  <si>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</si>
  <si>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</si>
  <si>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</si>
  <si>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</si>
  <si>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</si>
  <si>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</si>
  <si>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</si>
  <si>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</si>
  <si>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</si>
  <si>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</si>
  <si>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</si>
  <si>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</si>
  <si>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</si>
  <si>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</si>
  <si>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</si>
  <si>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</si>
  <si>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</si>
  <si>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</si>
  <si>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</si>
  <si>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</si>
  <si>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</si>
  <si>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</si>
  <si>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</si>
  <si>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</si>
  <si>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</si>
  <si>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</si>
  <si>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</si>
  <si>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</si>
  <si>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</si>
  <si>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</si>
  <si>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</si>
  <si>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</si>
  <si>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</si>
  <si>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</si>
  <si>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</si>
  <si>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</si>
  <si>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</si>
  <si>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</si>
  <si>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</si>
  <si>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</si>
  <si>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</si>
  <si>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</si>
  <si>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</si>
  <si>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</si>
  <si>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</si>
  <si>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</si>
  <si>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</si>
  <si>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</si>
  <si>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</si>
  <si>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</si>
  <si>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</si>
  <si>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</si>
  <si>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</si>
  <si>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</si>
  <si>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</si>
  <si>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</si>
  <si>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</si>
  <si>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</si>
  <si>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</si>
  <si>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</si>
  <si>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</si>
  <si>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</si>
  <si>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</si>
  <si>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</si>
  <si>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</si>
  <si>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</si>
  <si>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</si>
  <si>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</si>
  <si>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</si>
  <si>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</si>
  <si>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</si>
  <si>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</si>
  <si>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</si>
  <si>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</si>
  <si>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</si>
  <si>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</si>
  <si>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</si>
  <si>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</si>
  <si>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</si>
  <si>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</si>
  <si>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</si>
  <si>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</si>
  <si>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</si>
  <si>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</si>
  <si>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</si>
  <si>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</si>
  <si>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</si>
  <si>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</si>
  <si>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</si>
  <si>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</si>
  <si>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</si>
  <si>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</si>
  <si>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</si>
  <si>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</si>
  <si>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</si>
  <si>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</si>
  <si>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</si>
  <si>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</si>
  <si>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</si>
  <si>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</si>
  <si>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</si>
  <si>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</si>
  <si>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</si>
  <si>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</si>
  <si>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</si>
  <si>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</si>
  <si>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</si>
  <si>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</si>
  <si>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</si>
  <si>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</si>
  <si>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</si>
  <si>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</si>
  <si>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</si>
  <si>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</si>
  <si>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</si>
  <si>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</si>
  <si>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</si>
  <si>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</si>
  <si>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</si>
  <si>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</si>
  <si>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</si>
  <si>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</si>
  <si>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</si>
  <si>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</si>
  <si>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</si>
  <si>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</si>
  <si>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</si>
  <si>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</si>
  <si>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</si>
  <si>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</si>
  <si>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</si>
  <si>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</si>
  <si>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</si>
  <si>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</si>
  <si>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</si>
  <si>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</si>
  <si>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</si>
  <si>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</si>
  <si>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</si>
  <si>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</si>
  <si>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</si>
  <si>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</si>
  <si>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</si>
  <si>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</si>
  <si>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</si>
  <si>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</si>
  <si>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</si>
  <si>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</si>
  <si>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</si>
  <si>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</si>
  <si>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</si>
  <si>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</si>
  <si>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</si>
  <si>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</si>
  <si>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</si>
  <si>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</si>
  <si>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</si>
  <si>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</si>
  <si>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</si>
  <si>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</si>
  <si>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</si>
  <si>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</si>
  <si>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</si>
  <si>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</si>
  <si>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</si>
  <si>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</si>
  <si>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</si>
  <si>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</si>
  <si>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</si>
  <si>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</si>
  <si>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</si>
  <si>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</si>
  <si>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</si>
  <si>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</si>
  <si>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</si>
  <si>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</si>
  <si>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</si>
  <si>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</si>
  <si>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</si>
  <si>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</si>
  <si>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</si>
  <si>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</si>
  <si>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</si>
  <si>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</si>
  <si>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</si>
  <si>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</si>
  <si>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</si>
  <si>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</si>
  <si>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</si>
  <si>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</si>
  <si>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</si>
  <si>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</si>
  <si>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</si>
  <si>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</si>
  <si>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</si>
  <si>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</si>
  <si>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</si>
  <si>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</si>
  <si>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</si>
  <si>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</si>
  <si>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</si>
  <si>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</si>
  <si>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</si>
  <si>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</si>
  <si>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</si>
  <si>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</si>
  <si>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</si>
  <si>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</si>
  <si>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</si>
  <si>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</si>
  <si>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</si>
  <si>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</si>
  <si>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</si>
  <si>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</si>
  <si>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</si>
  <si>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</si>
  <si>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</si>
  <si>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</si>
  <si>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</si>
  <si>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</si>
  <si>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</si>
  <si>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</si>
  <si>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</si>
  <si>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</si>
  <si>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</si>
  <si>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</si>
  <si>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</si>
  <si>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</si>
  <si>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</si>
  <si>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</si>
  <si>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</si>
  <si>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</si>
  <si>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</si>
  <si>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</si>
  <si>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</si>
  <si>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</si>
  <si>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</si>
  <si>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</si>
  <si>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</si>
  <si>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</si>
  <si>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</si>
  <si>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</si>
  <si>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</si>
  <si>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</si>
  <si>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</si>
  <si>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</si>
  <si>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</si>
  <si>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</si>
  <si>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</si>
  <si>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</si>
  <si>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</si>
  <si>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</si>
  <si>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</si>
  <si>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</si>
  <si>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</si>
  <si>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</si>
  <si>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</si>
  <si>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</si>
  <si>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</si>
  <si>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</si>
  <si>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</si>
  <si>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</si>
  <si>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</si>
  <si>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</si>
  <si>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</si>
  <si>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</si>
  <si>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</si>
  <si>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</si>
  <si>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</si>
  <si>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</si>
  <si>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</si>
  <si>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</si>
  <si>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</si>
  <si>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</si>
  <si>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</si>
  <si>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</si>
  <si>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</si>
  <si>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</si>
  <si>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</si>
  <si>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</si>
  <si>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</si>
  <si>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</si>
  <si>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</si>
  <si>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</si>
  <si>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</si>
  <si>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</si>
  <si>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</si>
  <si>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</si>
  <si>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</si>
  <si>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</si>
  <si>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</si>
  <si>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</si>
  <si>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</si>
  <si>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</si>
  <si>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</si>
  <si>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</si>
  <si>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</si>
  <si>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</si>
  <si>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</si>
  <si>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</si>
  <si>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</si>
  <si>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</si>
  <si>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</si>
  <si>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</si>
  <si>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</si>
  <si>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</si>
  <si>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</si>
  <si>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</si>
  <si>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</si>
  <si>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</si>
  <si>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</si>
  <si>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</si>
  <si>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</si>
  <si>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</si>
  <si>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</si>
  <si>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</si>
  <si>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</si>
  <si>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</si>
  <si>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</si>
  <si>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</si>
  <si>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</si>
  <si>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</si>
  <si>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</si>
  <si>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</si>
  <si>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</si>
  <si>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</si>
  <si>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</si>
  <si>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</si>
  <si>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</si>
  <si>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</si>
  <si>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</si>
  <si>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</si>
  <si>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</si>
  <si>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</si>
  <si>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</si>
  <si>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</si>
  <si>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</si>
  <si>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</si>
  <si>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</si>
  <si>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</si>
  <si>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</si>
  <si>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</si>
  <si>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</si>
  <si>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</si>
  <si>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</si>
  <si>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</si>
  <si>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</si>
  <si>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</si>
  <si>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</si>
  <si>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</si>
  <si>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</si>
  <si>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</si>
  <si>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</si>
  <si>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</si>
  <si>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</si>
  <si>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</si>
  <si>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</si>
  <si>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</si>
  <si>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</si>
  <si>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</si>
  <si>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</si>
  <si>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</si>
  <si>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</si>
  <si>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</si>
  <si>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</si>
  <si>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</si>
  <si>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</si>
  <si>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</si>
  <si>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</si>
  <si>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</si>
  <si>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</si>
  <si>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</si>
  <si>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</si>
  <si>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</si>
  <si>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</si>
  <si>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</si>
  <si>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</si>
  <si>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</si>
  <si>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</si>
  <si>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</si>
  <si>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</si>
  <si>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</si>
  <si>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</si>
  <si>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</si>
  <si>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</si>
  <si>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</si>
  <si>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</si>
  <si>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</si>
  <si>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</si>
  <si>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</si>
  <si>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</si>
  <si>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</si>
  <si>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</si>
  <si>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</si>
  <si>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</si>
  <si>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</si>
  <si>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</si>
  <si>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</si>
  <si>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</si>
  <si>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</si>
  <si>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</si>
  <si>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</si>
  <si>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</si>
  <si>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</si>
  <si>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</si>
  <si>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</si>
  <si>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</si>
  <si>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</si>
  <si>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</si>
  <si>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</si>
  <si>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</si>
  <si>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</si>
  <si>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</si>
  <si>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</si>
  <si>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</si>
  <si>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</si>
  <si>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</si>
  <si>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</si>
  <si>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</si>
  <si>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</si>
  <si>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</si>
  <si>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</si>
  <si>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</si>
  <si>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</si>
  <si>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</si>
  <si>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</si>
  <si>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</si>
  <si>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</si>
  <si>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</si>
  <si>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</si>
  <si>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</si>
  <si>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</si>
  <si>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</si>
  <si>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</si>
  <si>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</si>
  <si>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</si>
  <si>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</si>
  <si>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</si>
  <si>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</si>
  <si>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</si>
  <si>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</si>
  <si>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</si>
  <si>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</si>
  <si>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</si>
  <si>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</si>
  <si>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</si>
  <si>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</si>
  <si>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</si>
  <si>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</si>
  <si>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</si>
  <si>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</si>
  <si>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</si>
  <si>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</si>
  <si>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</si>
  <si>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</si>
  <si>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</si>
  <si>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</si>
  <si>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</si>
  <si>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</si>
  <si>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</si>
  <si>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</si>
  <si>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</si>
  <si>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</si>
  <si>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</si>
  <si>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</si>
  <si>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</si>
  <si>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</si>
  <si>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</si>
  <si>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</si>
  <si>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</si>
  <si>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</si>
  <si>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</si>
  <si>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</si>
  <si>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</si>
  <si>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</si>
  <si>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</si>
  <si>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</si>
  <si>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</si>
  <si>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</si>
  <si>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</si>
  <si>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</si>
  <si>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</si>
  <si>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</si>
  <si>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</si>
  <si>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</si>
  <si>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</si>
  <si>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</si>
  <si>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</si>
  <si>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</si>
  <si>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</si>
  <si>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</si>
  <si>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</si>
  <si>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</si>
  <si>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</si>
  <si>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</si>
  <si>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</si>
  <si>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</si>
  <si>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</si>
  <si>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</si>
  <si>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</si>
  <si>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</si>
  <si>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</si>
  <si>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</si>
  <si>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</si>
  <si>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</si>
  <si>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</si>
  <si>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</si>
  <si>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</si>
  <si>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</si>
  <si>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</si>
  <si>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</si>
  <si>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</si>
  <si>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</si>
  <si>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</si>
  <si>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</si>
  <si>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</si>
  <si>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</si>
  <si>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</si>
  <si>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</si>
  <si>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</si>
  <si>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</si>
  <si>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</si>
  <si>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</si>
  <si>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</si>
  <si>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</si>
  <si>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</si>
  <si>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</si>
  <si>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</si>
  <si>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</si>
  <si>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</si>
  <si>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</si>
  <si>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</si>
  <si>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</si>
  <si>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</si>
  <si>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</si>
  <si>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</si>
  <si>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</si>
  <si>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</si>
  <si>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</si>
  <si>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</si>
  <si>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</si>
  <si>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</si>
  <si>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</si>
  <si>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</si>
  <si>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</si>
  <si>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</si>
  <si>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</si>
  <si>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</si>
  <si>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</si>
  <si>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</si>
  <si>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</si>
  <si>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</si>
  <si>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</si>
  <si>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</si>
  <si>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</si>
  <si>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</si>
  <si>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</si>
  <si>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</si>
  <si>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</si>
  <si>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</si>
  <si>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</si>
  <si>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</si>
  <si>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</si>
  <si>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</si>
  <si>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</si>
  <si>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</si>
  <si>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</si>
  <si>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</si>
  <si>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</si>
  <si>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</si>
  <si>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</si>
  <si>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</si>
  <si>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</si>
  <si>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</si>
  <si>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</si>
  <si>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</si>
  <si>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</si>
  <si>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</si>
  <si>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</si>
  <si>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</si>
  <si>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</si>
  <si>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</si>
  <si>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</si>
  <si>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</si>
  <si>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</si>
  <si>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</si>
  <si>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</si>
  <si>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</si>
  <si>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</si>
  <si>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</si>
  <si>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</si>
  <si>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</si>
  <si>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</si>
  <si>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</si>
  <si>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</si>
  <si>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</si>
  <si>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</si>
  <si>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</si>
  <si>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</si>
  <si>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</si>
  <si>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</si>
  <si>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</si>
  <si>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</si>
  <si>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</si>
  <si>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</si>
  <si>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</si>
  <si>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</si>
  <si>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</si>
  <si>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</si>
  <si>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</si>
  <si>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</si>
  <si>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</si>
  <si>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</si>
  <si>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</si>
  <si>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</si>
  <si>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</si>
  <si>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</si>
  <si>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</si>
  <si>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</si>
  <si>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</si>
  <si>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</si>
  <si>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</si>
  <si>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</si>
  <si>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</si>
  <si>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</si>
  <si>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</si>
  <si>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</si>
  <si>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</si>
  <si>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</si>
  <si>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</si>
  <si>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</si>
  <si>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</si>
  <si>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</si>
  <si>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</si>
  <si>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</si>
  <si>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</si>
  <si>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</si>
  <si>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</si>
  <si>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</si>
  <si>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</si>
  <si>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</si>
  <si>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</si>
  <si>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</si>
  <si>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</si>
  <si>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</si>
  <si>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</si>
  <si>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</si>
  <si>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</si>
  <si>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</si>
  <si>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</si>
  <si>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</si>
  <si>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</si>
  <si>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</si>
  <si>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</si>
  <si>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</si>
  <si>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</si>
  <si>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</si>
  <si>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</si>
  <si>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</si>
  <si>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</si>
  <si>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</si>
  <si>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</si>
  <si>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</si>
  <si>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</si>
  <si>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</si>
  <si>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</si>
  <si>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</si>
  <si>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</si>
  <si>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</si>
  <si>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</si>
  <si>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</si>
  <si>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</si>
  <si>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</si>
  <si>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</si>
  <si>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</si>
  <si>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</si>
  <si>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</si>
  <si>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</si>
  <si>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</si>
  <si>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</si>
  <si>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</si>
  <si>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</si>
  <si>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</si>
  <si>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</si>
  <si>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</si>
  <si>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</si>
  <si>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</si>
  <si>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</si>
  <si>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</si>
  <si>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</si>
  <si>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</si>
  <si>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</si>
  <si>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</si>
  <si>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</si>
  <si>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</si>
  <si>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</si>
  <si>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</si>
  <si>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</si>
  <si>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</si>
  <si>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</si>
  <si>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</si>
  <si>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</si>
  <si>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</si>
  <si>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</si>
  <si>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</si>
  <si>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</si>
  <si>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</si>
  <si>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</si>
  <si>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</si>
  <si>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</si>
  <si>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</si>
  <si>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</si>
  <si>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</si>
  <si>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</si>
  <si>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</si>
  <si>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</si>
  <si>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</si>
  <si>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</si>
  <si>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</si>
  <si>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</si>
  <si>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</si>
  <si>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</si>
  <si>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</si>
  <si>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</si>
  <si>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</si>
  <si>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</si>
  <si>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</si>
  <si>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</si>
  <si>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</si>
  <si>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</si>
  <si>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</si>
  <si>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</si>
  <si>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</si>
  <si>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</si>
  <si>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</si>
  <si>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</si>
  <si>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</si>
  <si>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</si>
  <si>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</si>
  <si>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</si>
  <si>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</si>
  <si>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</si>
  <si>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</si>
  <si>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</si>
  <si>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</si>
  <si>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</si>
  <si>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</si>
  <si>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</si>
  <si>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</si>
  <si>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</si>
  <si>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</si>
  <si>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</si>
  <si>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</si>
  <si>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</si>
  <si>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</si>
  <si>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</si>
  <si>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</si>
  <si>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</si>
  <si>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</si>
  <si>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</si>
  <si>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</si>
  <si>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</si>
  <si>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</si>
  <si>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</si>
  <si>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</si>
  <si>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</si>
  <si>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</si>
  <si>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</si>
  <si>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</si>
  <si>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</si>
  <si>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</si>
  <si>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</si>
  <si>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</si>
  <si>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</si>
  <si>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</si>
  <si>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</si>
  <si>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</si>
  <si>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</si>
  <si>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</si>
  <si>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</si>
  <si>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</si>
  <si>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</si>
  <si>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</si>
  <si>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</si>
  <si>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</si>
  <si>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</si>
  <si>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</si>
  <si>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</si>
  <si>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</si>
  <si>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</si>
  <si>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</si>
  <si>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</si>
  <si>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</si>
  <si>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</si>
  <si>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</si>
  <si>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</si>
  <si>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</si>
  <si>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</si>
  <si>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</si>
  <si>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</si>
  <si>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</si>
  <si>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</si>
  <si>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</si>
  <si>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</si>
  <si>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</si>
  <si>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</si>
  <si>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</si>
  <si>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</si>
  <si>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</si>
  <si>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</si>
  <si>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</si>
  <si>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</si>
  <si>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</si>
  <si>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</si>
  <si>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</si>
  <si>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</si>
  <si>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</si>
  <si>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</si>
  <si>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</si>
  <si>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</si>
  <si>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</si>
  <si>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</si>
  <si>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</si>
  <si>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</si>
  <si>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</si>
  <si>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</si>
  <si>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</si>
  <si>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</si>
  <si>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</si>
  <si>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</si>
  <si>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</si>
  <si>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</si>
  <si>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</si>
  <si>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</si>
  <si>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</si>
  <si>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</si>
  <si>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</si>
  <si>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</si>
  <si>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</si>
  <si>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</si>
  <si>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</si>
  <si>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</si>
  <si>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</si>
  <si>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</si>
  <si>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</si>
  <si>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</si>
  <si>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</si>
  <si>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</si>
  <si>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</si>
  <si>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</si>
  <si>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</si>
  <si>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</si>
  <si>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</si>
  <si>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</si>
  <si>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</si>
  <si>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</si>
  <si>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</si>
  <si>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</si>
  <si>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</si>
  <si>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</si>
  <si>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</si>
  <si>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</si>
  <si>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</si>
  <si>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</si>
  <si>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</si>
  <si>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</si>
  <si>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</si>
  <si>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</si>
  <si>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</si>
  <si>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</si>
  <si>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</si>
  <si>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</si>
  <si>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</si>
  <si>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</si>
  <si>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</si>
  <si>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</si>
  <si>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</si>
  <si>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</si>
  <si>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</si>
  <si>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</si>
  <si>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</si>
  <si>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</si>
  <si>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</si>
  <si>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</si>
  <si>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</si>
  <si>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</si>
  <si>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</si>
  <si>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</si>
  <si>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</si>
  <si>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</si>
  <si>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</si>
  <si>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</si>
  <si>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</si>
  <si>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</si>
  <si>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</si>
  <si>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</si>
  <si>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</si>
  <si>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</si>
  <si>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</si>
  <si>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</si>
  <si>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</si>
  <si>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</si>
  <si>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</si>
  <si>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</si>
  <si>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</si>
  <si>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</si>
  <si>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</si>
  <si>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</si>
  <si>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</si>
  <si>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</si>
  <si>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</si>
  <si>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</si>
  <si>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</si>
  <si>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</si>
  <si>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</si>
  <si>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</si>
  <si>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</si>
  <si>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</si>
  <si>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</si>
  <si>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</si>
  <si>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</si>
  <si>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</si>
  <si>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</si>
  <si>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</si>
  <si>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</si>
  <si>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</si>
  <si>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</si>
  <si>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</si>
  <si>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</si>
  <si>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</si>
  <si>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</si>
  <si>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</si>
  <si>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</si>
  <si>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</si>
  <si>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</si>
  <si>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</si>
  <si>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</si>
  <si>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</si>
  <si>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</si>
  <si>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</si>
  <si>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</si>
  <si>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</si>
  <si>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</si>
  <si>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</si>
  <si>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</si>
  <si>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</si>
  <si>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</si>
  <si>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</si>
  <si>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</si>
  <si>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</si>
  <si>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</si>
  <si>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</si>
  <si>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</si>
  <si>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</si>
  <si>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</si>
  <si>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</si>
  <si>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</si>
  <si>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</si>
  <si>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</si>
  <si>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</si>
  <si>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</si>
  <si>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</si>
  <si>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</si>
  <si>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</si>
  <si>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</si>
  <si>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</si>
  <si>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</si>
  <si>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</si>
  <si>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</si>
  <si>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</si>
  <si>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</si>
  <si>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</si>
  <si>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</si>
  <si>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</si>
  <si>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</si>
  <si>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</si>
  <si>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</si>
  <si>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</si>
  <si>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</si>
  <si>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</si>
  <si>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</si>
  <si>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</si>
  <si>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</si>
  <si>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</si>
  <si>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</si>
  <si>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</si>
  <si>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</si>
  <si>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</si>
  <si>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</si>
  <si>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</si>
  <si>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</si>
  <si>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</si>
  <si>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</si>
  <si>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</si>
  <si>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</si>
  <si>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</si>
  <si>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</si>
  <si>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</si>
  <si>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</si>
  <si>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</si>
  <si>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</si>
  <si>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</si>
  <si>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</si>
  <si>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</si>
  <si>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</si>
  <si>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</si>
  <si>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</si>
  <si>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</si>
  <si>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</si>
  <si>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</si>
  <si>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</si>
  <si>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</si>
  <si>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</si>
  <si>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</si>
  <si>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</si>
  <si>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</si>
  <si>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</si>
  <si>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</si>
  <si>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</si>
  <si>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</si>
  <si>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</si>
  <si>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</si>
  <si>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</si>
  <si>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</si>
  <si>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</si>
  <si>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</si>
  <si>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</si>
  <si>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</si>
  <si>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</si>
  <si>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</si>
  <si>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</si>
  <si>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</si>
  <si>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</si>
  <si>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</si>
  <si>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</si>
  <si>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</si>
  <si>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</si>
  <si>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</si>
  <si>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</si>
  <si>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</si>
  <si>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</si>
  <si>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</si>
  <si>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</si>
  <si>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</si>
  <si>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</si>
  <si>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</si>
  <si>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</si>
  <si>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</si>
  <si>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</si>
  <si>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</si>
  <si>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</si>
  <si>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</si>
  <si>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</si>
  <si>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</si>
  <si>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</si>
  <si>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</si>
  <si>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</si>
  <si>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</si>
  <si>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</si>
  <si>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</si>
  <si>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</si>
  <si>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</si>
  <si>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</si>
  <si>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</si>
  <si>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</si>
  <si>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</si>
  <si>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</si>
  <si>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</si>
  <si>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</si>
  <si>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</si>
  <si>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</si>
  <si>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</si>
  <si>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</si>
  <si>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</si>
  <si>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</si>
  <si>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</si>
  <si>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</si>
  <si>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</si>
  <si>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</si>
  <si>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</si>
  <si>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</si>
  <si>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</si>
  <si>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</si>
  <si>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</si>
  <si>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</si>
  <si>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</si>
  <si>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</si>
  <si>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</si>
  <si>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</si>
  <si>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</si>
  <si>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</si>
  <si>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</si>
  <si>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</si>
  <si>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</si>
  <si>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</si>
  <si>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</si>
  <si>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</si>
  <si>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</si>
  <si>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</si>
  <si>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</si>
  <si>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</si>
  <si>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</si>
  <si>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</si>
  <si>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</si>
  <si>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</si>
  <si>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</si>
  <si>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</si>
  <si>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</si>
  <si>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</si>
  <si>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</si>
  <si>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</si>
  <si>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</si>
  <si>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</si>
  <si>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</si>
  <si>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</si>
  <si>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</si>
  <si>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</si>
  <si>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</si>
  <si>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</si>
  <si>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</si>
  <si>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</si>
  <si>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</si>
  <si>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</si>
  <si>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</si>
  <si>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</si>
  <si>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</si>
  <si>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</si>
  <si>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</si>
  <si>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</si>
  <si>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</si>
  <si>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</si>
  <si>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</si>
  <si>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</si>
  <si>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</si>
  <si>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</si>
  <si>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</si>
  <si>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</si>
  <si>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</si>
  <si>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</si>
  <si>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</si>
  <si>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</si>
  <si>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</si>
  <si>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</si>
  <si>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</si>
  <si>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</si>
  <si>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</si>
  <si>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</si>
  <si>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</si>
  <si>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</si>
  <si>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</si>
  <si>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</si>
  <si>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</si>
  <si>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</si>
  <si>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</si>
  <si>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</si>
  <si>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</si>
  <si>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</si>
  <si>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</si>
  <si>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</si>
  <si>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</si>
  <si>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</si>
  <si>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</si>
  <si>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</si>
  <si>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</si>
  <si>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</si>
  <si>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</si>
  <si>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</si>
  <si>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</si>
  <si>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</si>
  <si>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</si>
  <si>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</si>
  <si>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</si>
  <si>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</si>
  <si>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</si>
  <si>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</si>
  <si>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</si>
  <si>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</si>
  <si>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</si>
  <si>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</si>
  <si>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</si>
  <si>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</si>
  <si>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</si>
  <si>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</si>
  <si>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</si>
  <si>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</si>
  <si>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</si>
  <si>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</si>
  <si>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</si>
  <si>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</si>
  <si>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</si>
  <si>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</si>
  <si>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</si>
  <si>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</si>
  <si>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</si>
  <si>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</si>
  <si>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</si>
  <si>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</si>
  <si>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</si>
  <si>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</si>
  <si>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</si>
  <si>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</si>
  <si>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</si>
  <si>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</si>
  <si>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</si>
  <si>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</si>
  <si>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</si>
  <si>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</si>
  <si>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</si>
  <si>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</si>
  <si>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</si>
  <si>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</si>
  <si>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</si>
  <si>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</si>
  <si>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</si>
  <si>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</si>
  <si>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</si>
  <si>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</si>
  <si>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</si>
  <si>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</si>
  <si>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</si>
  <si>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</si>
  <si>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</si>
  <si>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</si>
  <si>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</si>
  <si>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</si>
  <si>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</si>
  <si>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</si>
  <si>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</si>
  <si>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</si>
  <si>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</si>
  <si>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</si>
  <si>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</si>
  <si>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</si>
  <si>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</si>
  <si>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</si>
  <si>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</si>
  <si>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</si>
  <si>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</si>
  <si>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</si>
  <si>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</si>
  <si>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</si>
  <si>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</si>
  <si>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</si>
  <si>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</si>
  <si>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</si>
  <si>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</si>
  <si>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</si>
  <si>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</si>
  <si>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</si>
  <si>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</si>
  <si>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</si>
  <si>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</si>
  <si>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</si>
  <si>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</si>
  <si>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</si>
  <si>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</si>
  <si>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</si>
  <si>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</si>
  <si>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</si>
  <si>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</si>
  <si>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</si>
  <si>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</si>
  <si>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</si>
  <si>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</si>
  <si>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</si>
  <si>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</si>
  <si>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</si>
  <si>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</si>
  <si>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</si>
  <si>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</si>
  <si>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</si>
  <si>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</si>
  <si>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</si>
  <si>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</si>
  <si>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</si>
  <si>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</si>
  <si>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</si>
  <si>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</si>
  <si>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</si>
  <si>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</si>
  <si>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</si>
  <si>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</si>
  <si>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</si>
  <si>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</si>
  <si>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</si>
  <si>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</si>
  <si>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</si>
  <si>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</si>
  <si>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</si>
  <si>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</si>
  <si>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</si>
  <si>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</si>
  <si>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</si>
  <si>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</si>
  <si>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</si>
  <si>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</si>
  <si>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</si>
  <si>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</si>
  <si>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</si>
  <si>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</si>
  <si>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</si>
  <si>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</si>
  <si>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</si>
  <si>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</si>
  <si>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</si>
  <si>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</si>
  <si>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</si>
  <si>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</si>
  <si>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</si>
  <si>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</si>
  <si>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</si>
  <si>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</si>
  <si>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</si>
  <si>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</si>
  <si>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</si>
  <si>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</si>
  <si>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</si>
  <si>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</si>
  <si>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</si>
  <si>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</si>
  <si>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</si>
  <si>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</si>
  <si>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</si>
  <si>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</si>
  <si>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</si>
  <si>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</si>
  <si>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</si>
  <si>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</si>
  <si>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</si>
  <si>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</si>
  <si>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</si>
  <si>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</si>
  <si>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</si>
  <si>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</si>
  <si>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</si>
  <si>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</si>
  <si>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</si>
  <si>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</si>
  <si>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</si>
  <si>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</si>
  <si>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</si>
  <si>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</si>
  <si>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</si>
  <si>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</si>
  <si>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</si>
  <si>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</si>
  <si>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</si>
  <si>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</si>
  <si>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</si>
  <si>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</si>
  <si>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</si>
  <si>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</si>
  <si>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</si>
  <si>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</si>
  <si>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</si>
  <si>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</si>
  <si>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</si>
  <si>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</si>
  <si>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</si>
  <si>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</si>
  <si>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</si>
  <si>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</si>
  <si>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</si>
  <si>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</si>
  <si>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</si>
  <si>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</si>
  <si>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</si>
  <si>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</si>
  <si>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</si>
  <si>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</si>
  <si>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</si>
  <si>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</si>
  <si>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</si>
  <si>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</si>
  <si>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</si>
  <si>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</si>
  <si>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</si>
  <si>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</si>
  <si>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</si>
  <si>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</si>
  <si>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</si>
  <si>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</si>
  <si>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</si>
  <si>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</si>
  <si>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</si>
  <si>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</si>
  <si>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</si>
  <si>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</si>
  <si>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</si>
  <si>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</si>
  <si>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</si>
  <si>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</si>
  <si>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</si>
  <si>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</si>
  <si>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</si>
  <si>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</si>
  <si>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</si>
  <si>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</si>
  <si>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</si>
  <si>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</si>
  <si>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</si>
  <si>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</si>
  <si>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</si>
  <si>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</si>
  <si>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</si>
  <si>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</si>
  <si>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</si>
  <si>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</si>
  <si>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</si>
  <si>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</si>
  <si>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</si>
  <si>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</si>
  <si>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</si>
  <si>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</si>
  <si>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</si>
  <si>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</si>
  <si>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</si>
  <si>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</si>
  <si>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</si>
  <si>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</si>
  <si>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</si>
  <si>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</si>
  <si>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</si>
  <si>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</si>
  <si>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</si>
  <si>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</si>
  <si>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</si>
  <si>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</si>
  <si>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</si>
  <si>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</si>
  <si>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</si>
  <si>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</si>
  <si>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</si>
  <si>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</si>
  <si>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</si>
  <si>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</si>
  <si>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</si>
  <si>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</si>
  <si>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</si>
  <si>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</si>
  <si>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</si>
  <si>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</si>
  <si>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</si>
  <si>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</si>
  <si>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</si>
  <si>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</si>
  <si>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</si>
  <si>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</si>
  <si>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</si>
  <si>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</si>
  <si>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</si>
  <si>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</si>
  <si>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</si>
  <si>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</si>
  <si>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</si>
  <si>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</si>
  <si>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</si>
  <si>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</si>
  <si>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</si>
  <si>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</si>
  <si>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</si>
  <si>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</si>
  <si>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</si>
  <si>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</si>
  <si>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</si>
  <si>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</si>
  <si>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</si>
  <si>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</si>
  <si>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</si>
  <si>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</si>
  <si>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</si>
  <si>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</si>
  <si>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</si>
  <si>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</si>
  <si>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</si>
  <si>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</si>
  <si>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</si>
  <si>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</si>
  <si>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</si>
  <si>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</si>
  <si>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</si>
  <si>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</si>
  <si>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</si>
  <si>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</si>
  <si>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</si>
  <si>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</si>
  <si>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</si>
  <si>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</si>
  <si>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</si>
  <si>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</si>
  <si>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</si>
  <si>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</si>
  <si>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</si>
  <si>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</si>
  <si>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</si>
  <si>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</si>
  <si>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</si>
  <si>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</si>
  <si>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</si>
  <si>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</si>
  <si>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</si>
  <si>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</si>
  <si>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</si>
  <si>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</si>
  <si>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</si>
  <si>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</si>
  <si>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</si>
  <si>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</si>
  <si>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</si>
  <si>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</si>
  <si>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</si>
  <si>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</si>
  <si>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</si>
  <si>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</si>
  <si>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</si>
  <si>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</si>
  <si>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</si>
  <si>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</si>
  <si>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</si>
  <si>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</si>
  <si>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</si>
  <si>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</si>
  <si>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</si>
  <si>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</si>
  <si>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</si>
  <si>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</si>
  <si>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</si>
  <si>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</si>
  <si>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</si>
  <si>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</si>
  <si>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</si>
  <si>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</si>
  <si>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</si>
  <si>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</si>
  <si>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</si>
  <si>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</si>
  <si>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</si>
  <si>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</si>
  <si>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</si>
  <si>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</si>
  <si>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</si>
  <si>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</si>
  <si>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</si>
  <si>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</si>
  <si>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</si>
  <si>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</si>
  <si>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</si>
  <si>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</si>
  <si>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</si>
  <si>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</si>
  <si>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</si>
  <si>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</si>
  <si>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</si>
  <si>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</si>
  <si>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</si>
  <si>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</si>
  <si>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</si>
  <si>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</si>
  <si>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</si>
  <si>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</si>
  <si>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</si>
  <si>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</si>
  <si>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</si>
  <si>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</si>
  <si>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</si>
  <si>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</si>
  <si>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</si>
  <si>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</si>
  <si>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</si>
  <si>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</si>
  <si>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</si>
  <si>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</si>
  <si>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</si>
  <si>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</si>
  <si>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</si>
  <si>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</si>
  <si>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</si>
  <si>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</si>
  <si>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</si>
  <si>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</si>
  <si>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</si>
  <si>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</si>
  <si>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</si>
  <si>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</si>
  <si>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</si>
  <si>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</si>
  <si>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</si>
  <si>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</si>
  <si>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</si>
  <si>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</si>
  <si>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</si>
  <si>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</si>
  <si>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</si>
  <si>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</si>
  <si>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</si>
  <si>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</si>
  <si>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</si>
  <si>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</si>
  <si>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</si>
  <si>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</si>
  <si>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</si>
  <si>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</si>
  <si>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</si>
  <si>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</si>
  <si>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</si>
  <si>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</si>
  <si>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</si>
  <si>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</si>
  <si>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</si>
  <si>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</si>
  <si>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</si>
  <si>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</si>
  <si>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</si>
  <si>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</si>
  <si>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</si>
  <si>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</si>
  <si>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</si>
  <si>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</si>
  <si>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</si>
  <si>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</si>
  <si>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</si>
  <si>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</si>
  <si>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</si>
  <si>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</si>
  <si>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</si>
  <si>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</si>
  <si>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</si>
  <si>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</si>
  <si>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</si>
  <si>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</si>
  <si>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</si>
  <si>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</si>
  <si>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</si>
  <si>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</si>
  <si>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</si>
  <si>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</si>
  <si>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</si>
  <si>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</si>
  <si>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</si>
  <si>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</si>
  <si>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</si>
  <si>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</si>
  <si>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</si>
  <si>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</si>
  <si>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</si>
  <si>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</si>
  <si>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</si>
  <si>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</si>
  <si>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</si>
  <si>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</si>
  <si>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</si>
  <si>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</si>
  <si>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</si>
  <si>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</si>
  <si>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</si>
  <si>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</si>
  <si>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</si>
  <si>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</si>
  <si>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</si>
  <si>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</si>
  <si>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</si>
  <si>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</si>
  <si>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</si>
  <si>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</si>
  <si>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</si>
  <si>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</si>
  <si>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</si>
  <si>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</si>
  <si>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</si>
  <si>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</si>
  <si>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</si>
  <si>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</si>
  <si>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</si>
  <si>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</si>
  <si>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</si>
  <si>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</si>
  <si>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</si>
  <si>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</si>
  <si>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</si>
  <si>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</si>
  <si>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</si>
  <si>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</si>
  <si>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</si>
  <si>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</si>
  <si>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</si>
  <si>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</si>
  <si>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</si>
  <si>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</si>
  <si>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</si>
  <si>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</si>
  <si>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</si>
  <si>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</si>
  <si>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</si>
  <si>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</si>
  <si>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</si>
  <si>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</si>
  <si>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</si>
  <si>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</si>
  <si>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</si>
  <si>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</si>
  <si>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</si>
  <si>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</si>
  <si>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</si>
  <si>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</si>
  <si>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</si>
  <si>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</si>
  <si>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</si>
  <si>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</si>
  <si>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</si>
  <si>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</si>
  <si>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</si>
  <si>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</si>
  <si>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</si>
  <si>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</si>
  <si>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</si>
  <si>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</si>
  <si>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</si>
  <si>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</si>
  <si>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</si>
  <si>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</si>
  <si>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</si>
  <si>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</si>
  <si>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</si>
  <si>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</si>
  <si>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</si>
  <si>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</si>
  <si>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</si>
  <si>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</si>
  <si>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</si>
  <si>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</si>
  <si>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</si>
  <si>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</si>
  <si>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</si>
  <si>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</si>
  <si>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</si>
  <si>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</si>
  <si>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</si>
  <si>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</si>
  <si>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</si>
  <si>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</si>
  <si>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</si>
  <si>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</si>
  <si>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</si>
  <si>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</si>
  <si>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</si>
  <si>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</si>
  <si>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</si>
  <si>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</si>
  <si>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</si>
  <si>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</si>
  <si>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</si>
  <si>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</si>
  <si>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</si>
  <si>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</si>
  <si>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</si>
  <si>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</si>
  <si>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</si>
  <si>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</si>
  <si>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</si>
  <si>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</si>
  <si>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</si>
  <si>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</si>
  <si>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</si>
  <si>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</si>
  <si>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</si>
  <si>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</si>
  <si>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</si>
  <si>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</si>
  <si>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</si>
  <si>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</si>
  <si>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</si>
  <si>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</si>
  <si>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</si>
  <si>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</si>
  <si>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</si>
  <si>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</si>
  <si>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</si>
  <si>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</si>
  <si>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</si>
  <si>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</si>
  <si>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</si>
  <si>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</si>
  <si>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</si>
  <si>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</si>
  <si>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</si>
  <si>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</si>
  <si>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</si>
  <si>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</si>
  <si>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</si>
  <si>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</si>
  <si>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</si>
  <si>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</si>
  <si>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</si>
  <si>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</si>
  <si>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</si>
  <si>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</si>
  <si>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</si>
  <si>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</si>
  <si>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</si>
  <si>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</si>
  <si>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</si>
  <si>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</si>
  <si>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</si>
  <si>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</si>
  <si>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</si>
  <si>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</si>
  <si>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</si>
  <si>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</si>
  <si>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</si>
  <si>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</si>
  <si>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</si>
  <si>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</si>
  <si>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</si>
  <si>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</si>
  <si>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</si>
  <si>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</si>
  <si>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</si>
  <si>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</si>
  <si>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</si>
  <si>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</si>
  <si>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</si>
  <si>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</si>
  <si>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</si>
  <si>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</si>
  <si>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</si>
  <si>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</si>
  <si>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</si>
  <si>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</si>
  <si>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</si>
  <si>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</si>
  <si>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</si>
  <si>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</si>
  <si>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</si>
  <si>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</si>
  <si>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</si>
  <si>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</si>
  <si>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</si>
  <si>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</si>
  <si>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</si>
  <si>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</si>
  <si>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</si>
  <si>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</si>
  <si>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</si>
  <si>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</si>
  <si>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</si>
  <si>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</si>
  <si>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</si>
  <si>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</si>
  <si>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</si>
  <si>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</si>
  <si>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</si>
  <si>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</si>
  <si>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</si>
  <si>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</si>
  <si>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</si>
  <si>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</si>
  <si>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</si>
  <si>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</si>
  <si>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</si>
  <si>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</si>
  <si>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</si>
  <si>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</si>
  <si>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</si>
  <si>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</si>
  <si>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</si>
  <si>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</si>
  <si>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</si>
  <si>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</si>
  <si>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</si>
  <si>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</si>
  <si>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</si>
  <si>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</si>
  <si>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</si>
  <si>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</si>
  <si>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</si>
  <si>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</si>
  <si>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</si>
  <si>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</si>
  <si>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</si>
  <si>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</si>
  <si>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</si>
  <si>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</si>
  <si>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</si>
  <si>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</si>
  <si>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</si>
  <si>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</si>
  <si>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</si>
  <si>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</si>
  <si>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</si>
  <si>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</si>
  <si>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</si>
  <si>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</si>
  <si>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</si>
  <si>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</si>
  <si>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</si>
  <si>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</si>
  <si>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</si>
  <si>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</si>
  <si>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</si>
  <si>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</si>
  <si>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</si>
  <si>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</si>
  <si>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</si>
  <si>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</si>
  <si>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</si>
  <si>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</si>
  <si>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</si>
  <si>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</si>
  <si>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</si>
  <si>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</si>
  <si>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</si>
  <si>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</si>
  <si>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</si>
  <si>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</si>
  <si>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</si>
  <si>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</si>
  <si>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</si>
  <si>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</si>
  <si>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</si>
  <si>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</si>
  <si>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</si>
  <si>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</si>
  <si>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</si>
  <si>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</si>
  <si>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</si>
  <si>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</si>
  <si>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</si>
  <si>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</si>
  <si>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</si>
  <si>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</si>
  <si>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</si>
  <si>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</si>
  <si>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</si>
  <si>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</si>
  <si>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</si>
  <si>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</si>
  <si>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</si>
  <si>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</si>
  <si>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</si>
  <si>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</si>
  <si>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</si>
  <si>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</si>
  <si>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</si>
  <si>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</si>
  <si>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</si>
  <si>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</si>
  <si>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</si>
  <si>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</si>
  <si>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</si>
  <si>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</si>
  <si>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</si>
  <si>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</si>
  <si>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</si>
  <si>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</si>
  <si>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</si>
  <si>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</si>
  <si>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</si>
  <si>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</si>
  <si>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</si>
  <si>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</si>
  <si>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</si>
  <si>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</si>
  <si>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</si>
  <si>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</si>
  <si>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</si>
  <si>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</si>
  <si>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</si>
  <si>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</si>
  <si>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</si>
  <si>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</si>
  <si>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</si>
  <si>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</si>
  <si>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</si>
  <si>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</si>
  <si>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</si>
  <si>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</si>
  <si>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</si>
  <si>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</si>
  <si>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</si>
  <si>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</si>
  <si>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</si>
  <si>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</si>
  <si>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</si>
  <si>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</si>
  <si>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</si>
  <si>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</si>
  <si>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</si>
  <si>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</si>
  <si>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</si>
  <si>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</si>
  <si>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</si>
  <si>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</si>
  <si>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</si>
  <si>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</si>
  <si>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</si>
  <si>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</si>
  <si>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</si>
  <si>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</si>
  <si>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</si>
  <si>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</si>
  <si>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</si>
  <si>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</si>
  <si>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</si>
  <si>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</si>
  <si>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</si>
  <si>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</si>
  <si>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</si>
  <si>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</si>
  <si>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</si>
  <si>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</si>
  <si>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</si>
  <si>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</si>
  <si>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</si>
  <si>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</si>
  <si>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</si>
  <si>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</si>
  <si>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</si>
  <si>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</si>
  <si>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</si>
  <si>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</si>
  <si>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</si>
  <si>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</si>
  <si>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</si>
  <si>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</si>
  <si>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</si>
  <si>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</si>
  <si>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</si>
  <si>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</si>
  <si>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</si>
  <si>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</si>
  <si>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</si>
  <si>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</si>
  <si>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</si>
  <si>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</si>
  <si>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</si>
  <si>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</si>
  <si>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</si>
  <si>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</si>
  <si>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</si>
  <si>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</si>
  <si>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</si>
  <si>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</si>
  <si>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</si>
  <si>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</si>
  <si>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</si>
  <si>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</si>
  <si>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</si>
  <si>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</si>
  <si>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</si>
  <si>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</si>
  <si>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</si>
  <si>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</si>
  <si>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</si>
  <si>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</si>
  <si>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</si>
  <si>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</si>
  <si>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</si>
  <si>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</si>
  <si>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</si>
  <si>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</si>
  <si>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</si>
  <si>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</si>
  <si>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</si>
  <si>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</si>
  <si>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</si>
  <si>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</si>
  <si>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</si>
  <si>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</si>
  <si>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</si>
  <si>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</si>
  <si>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</si>
  <si>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</si>
  <si>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</si>
  <si>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</si>
  <si>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</si>
  <si>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</si>
  <si>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</si>
  <si>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</si>
  <si>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</si>
  <si>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</si>
  <si>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</si>
  <si>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</si>
  <si>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</si>
  <si>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</si>
  <si>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</si>
  <si>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</si>
  <si>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</si>
  <si>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</si>
  <si>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</si>
  <si>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</si>
  <si>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</si>
  <si>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</si>
  <si>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</si>
  <si>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</si>
  <si>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</si>
  <si>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</si>
  <si>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</si>
  <si>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</si>
  <si>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</si>
  <si>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</si>
  <si>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</si>
  <si>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</si>
  <si>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</si>
  <si>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</si>
  <si>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</si>
  <si>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</si>
  <si>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</si>
  <si>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</si>
  <si>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</si>
  <si>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</si>
  <si>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</si>
  <si>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</si>
  <si>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</si>
  <si>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</si>
  <si>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</si>
  <si>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</si>
  <si>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</si>
  <si>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</si>
  <si>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</si>
  <si>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</si>
  <si>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</si>
  <si>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</si>
  <si>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</si>
  <si>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</si>
  <si>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</si>
  <si>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</si>
  <si>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</si>
  <si>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</si>
  <si>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</si>
  <si>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</si>
  <si>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</si>
  <si>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</si>
  <si>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</si>
  <si>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</si>
  <si>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</si>
  <si>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</si>
  <si>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</si>
  <si>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</si>
  <si>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</si>
  <si>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</si>
  <si>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</si>
  <si>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</si>
  <si>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</si>
  <si>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</si>
  <si>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</si>
  <si>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</si>
  <si>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</si>
  <si>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</si>
  <si>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</si>
  <si>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</si>
  <si>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</si>
  <si>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</si>
  <si>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</si>
  <si>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</si>
  <si>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</si>
  <si>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</si>
  <si>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</si>
  <si>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</si>
  <si>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</si>
  <si>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</si>
  <si>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</si>
  <si>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</si>
  <si>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</si>
  <si>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</si>
  <si>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</si>
  <si>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</si>
  <si>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</si>
  <si>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</si>
  <si>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</si>
  <si>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</si>
  <si>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</si>
  <si>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</si>
  <si>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</si>
  <si>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</si>
  <si>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</si>
  <si>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</si>
  <si>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</si>
  <si>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</si>
  <si>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</si>
  <si>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</si>
  <si>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</si>
  <si>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</si>
  <si>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</si>
  <si>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</si>
  <si>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</si>
  <si>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</si>
  <si>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</si>
  <si>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</si>
  <si>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</si>
  <si>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</si>
  <si>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</si>
  <si>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</si>
  <si>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</si>
  <si>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</si>
  <si>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</si>
  <si>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</si>
  <si>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</si>
  <si>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</si>
  <si>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</si>
  <si>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</si>
  <si>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</si>
  <si>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</si>
  <si>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</si>
  <si>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</si>
  <si>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</si>
  <si>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</si>
  <si>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</si>
  <si>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</si>
  <si>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</si>
  <si>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</si>
  <si>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</si>
  <si>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</si>
  <si>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</si>
  <si>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</si>
  <si>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</si>
  <si>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</si>
  <si>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</si>
  <si>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</si>
  <si>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</si>
  <si>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</si>
  <si>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</si>
  <si>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</si>
  <si>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</si>
  <si>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</si>
  <si>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</si>
  <si>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</si>
  <si>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</si>
  <si>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</si>
  <si>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</si>
  <si>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</si>
  <si>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</si>
  <si>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</si>
  <si>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</si>
  <si>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</si>
  <si>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</si>
  <si>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</si>
  <si>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</si>
  <si>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</si>
  <si>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</si>
  <si>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</si>
  <si>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</si>
  <si>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</si>
  <si>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</si>
  <si>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</si>
  <si>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</si>
  <si>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</si>
  <si>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</si>
  <si>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</si>
  <si>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</si>
  <si>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</si>
  <si>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</si>
  <si>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</si>
  <si>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</si>
  <si>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</si>
  <si>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</si>
  <si>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</si>
  <si>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</si>
  <si>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</si>
  <si>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</si>
  <si>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</si>
  <si>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</si>
  <si>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</si>
  <si>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</si>
  <si>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</si>
  <si>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</si>
  <si>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</si>
  <si>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</si>
  <si>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</si>
  <si>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</si>
  <si>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</si>
  <si>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</si>
  <si>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</si>
  <si>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</si>
  <si>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</si>
  <si>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</si>
  <si>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</si>
  <si>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</si>
  <si>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</si>
  <si>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</si>
  <si>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</si>
  <si>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</si>
  <si>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</si>
  <si>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</si>
  <si>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</si>
  <si>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</si>
  <si>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</si>
  <si>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</si>
  <si>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</si>
  <si>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</si>
  <si>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</si>
  <si>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</si>
  <si>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</si>
  <si>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</si>
  <si>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</si>
  <si>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</si>
  <si>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</si>
  <si>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</si>
  <si>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</si>
  <si>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</si>
  <si>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</si>
  <si>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</si>
  <si>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</si>
  <si>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</si>
  <si>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</si>
  <si>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</si>
  <si>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</si>
  <si>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</si>
  <si>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</si>
  <si>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</si>
  <si>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</si>
  <si>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</si>
  <si>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</si>
  <si>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</si>
  <si>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</si>
  <si>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</si>
  <si>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</si>
  <si>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</si>
  <si>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</si>
  <si>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</si>
  <si>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</si>
  <si>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</si>
  <si>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</si>
  <si>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</si>
  <si>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</si>
  <si>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</si>
  <si>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</si>
  <si>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</si>
  <si>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</si>
  <si>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</si>
  <si>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</si>
  <si>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</si>
  <si>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</si>
  <si>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</si>
  <si>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</si>
  <si>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</si>
  <si>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</si>
  <si>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</si>
  <si>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</si>
  <si>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</si>
  <si>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</si>
  <si>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</si>
  <si>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</si>
  <si>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</si>
  <si>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</si>
  <si>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</si>
  <si>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</si>
  <si>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</si>
  <si>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</si>
  <si>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</si>
  <si>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</si>
  <si>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</si>
  <si>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</si>
  <si>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</si>
  <si>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</si>
  <si>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</si>
  <si>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</si>
  <si>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</si>
  <si>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</si>
  <si>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</si>
  <si>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</si>
  <si>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</si>
  <si>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</si>
  <si>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</si>
  <si>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</si>
  <si>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</si>
  <si>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</si>
  <si>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</si>
  <si>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</si>
  <si>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</si>
  <si>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</si>
  <si>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</si>
  <si>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</si>
  <si>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</si>
  <si>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</si>
  <si>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</si>
  <si>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</si>
  <si>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</si>
  <si>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</si>
  <si>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</si>
  <si>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</si>
  <si>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</si>
  <si>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</si>
  <si>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</si>
  <si>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</si>
  <si>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</si>
  <si>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</si>
  <si>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</si>
  <si>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</si>
  <si>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</si>
  <si>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</si>
  <si>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</si>
  <si>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</si>
  <si>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</si>
  <si>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</si>
  <si>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</si>
  <si>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</si>
  <si>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</si>
  <si>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</si>
  <si>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</si>
  <si>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</si>
  <si>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</si>
  <si>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</si>
  <si>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</si>
  <si>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</si>
  <si>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</si>
  <si>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</si>
  <si>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</si>
  <si>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</si>
  <si>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</si>
  <si>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</si>
  <si>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</si>
  <si>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</si>
  <si>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</si>
  <si>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</si>
  <si>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</si>
  <si>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</si>
  <si>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</si>
  <si>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</si>
  <si>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</si>
  <si>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</si>
  <si>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</si>
  <si>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</si>
  <si>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</si>
  <si>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</si>
  <si>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</si>
  <si>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</si>
  <si>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</si>
  <si>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</si>
  <si>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</si>
  <si>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</si>
  <si>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</si>
  <si>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</si>
  <si>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</si>
  <si>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</si>
  <si>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</si>
  <si>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</si>
  <si>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</si>
  <si>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</si>
  <si>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</si>
  <si>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</si>
  <si>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</si>
  <si>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</si>
  <si>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</si>
  <si>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</si>
  <si>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</si>
  <si>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</si>
  <si>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</si>
  <si>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</si>
  <si>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</si>
  <si>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</si>
  <si>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</si>
  <si>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</si>
  <si>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</si>
  <si>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</si>
  <si>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</si>
  <si>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</si>
  <si>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</si>
  <si>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</si>
  <si>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</si>
  <si>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</si>
  <si>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</si>
  <si>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</si>
  <si>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</si>
  <si>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</si>
  <si>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</si>
  <si>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</si>
  <si>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</si>
  <si>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</si>
  <si>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</si>
  <si>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</si>
  <si>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</si>
  <si>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</si>
  <si>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</si>
  <si>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</si>
  <si>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</si>
  <si>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</si>
  <si>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</si>
  <si>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</si>
  <si>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</si>
  <si>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</si>
  <si>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</si>
  <si>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</si>
  <si>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</si>
  <si>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</si>
  <si>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</si>
  <si>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</si>
  <si>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</si>
  <si>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</si>
  <si>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</si>
  <si>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</si>
  <si>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</si>
  <si>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</si>
  <si>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</si>
  <si>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</si>
  <si>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</si>
  <si>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</si>
  <si>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</si>
  <si>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</si>
  <si>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</si>
  <si>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</si>
  <si>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</si>
  <si>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</si>
  <si>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</si>
  <si>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</si>
  <si>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</si>
  <si>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</si>
  <si>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</si>
  <si>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</si>
  <si>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</si>
  <si>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</si>
  <si>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</si>
  <si>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</si>
  <si>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</si>
  <si>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</si>
  <si>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</si>
  <si>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</si>
  <si>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</si>
  <si>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</si>
  <si>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</si>
  <si>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</si>
  <si>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</si>
  <si>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</si>
  <si>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</si>
  <si>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</si>
  <si>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</si>
  <si>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</si>
  <si>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</si>
  <si>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</si>
  <si>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</si>
  <si>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</si>
  <si>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</si>
  <si>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</si>
  <si>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</si>
  <si>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</si>
  <si>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</si>
  <si>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</si>
  <si>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</si>
  <si>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</si>
  <si>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</si>
  <si>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</si>
  <si>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</si>
  <si>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</si>
  <si>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</si>
  <si>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</si>
  <si>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</si>
  <si>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</si>
  <si>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</si>
  <si>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</si>
  <si>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</si>
  <si>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</si>
  <si>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</si>
  <si>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</si>
  <si>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</si>
  <si>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</si>
  <si>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</si>
  <si>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</si>
  <si>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</si>
  <si>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</si>
  <si>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</si>
  <si>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</si>
  <si>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</si>
  <si>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</si>
  <si>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</si>
  <si>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</si>
  <si>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</si>
  <si>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</si>
  <si>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</si>
  <si>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</si>
  <si>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</si>
  <si>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</si>
  <si>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</si>
  <si>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</si>
  <si>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</si>
  <si>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</si>
  <si>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</si>
  <si>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</si>
  <si>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</si>
  <si>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</si>
  <si>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</si>
  <si>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</si>
  <si>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</si>
  <si>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</si>
  <si>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</si>
  <si>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</si>
  <si>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</si>
  <si>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</si>
  <si>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</si>
  <si>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</si>
  <si>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</si>
  <si>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</si>
  <si>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</si>
  <si>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</si>
  <si>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</si>
  <si>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</si>
  <si>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</si>
  <si>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</si>
  <si>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</si>
  <si>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</si>
  <si>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</si>
  <si>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</si>
  <si>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</si>
  <si>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</si>
  <si>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</si>
  <si>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</si>
  <si>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</si>
  <si>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</si>
  <si>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</si>
  <si>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</si>
  <si>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</si>
  <si>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</si>
  <si>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</si>
  <si>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</si>
  <si>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</si>
  <si>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</si>
  <si>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</si>
  <si>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</si>
  <si>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</si>
  <si>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</si>
  <si>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</si>
  <si>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</si>
  <si>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</si>
  <si>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</si>
  <si>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</si>
  <si>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</si>
  <si>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</si>
  <si>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</si>
  <si>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</si>
  <si>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</si>
  <si>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</si>
  <si>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</si>
  <si>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</si>
  <si>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</si>
  <si>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</si>
  <si>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</si>
  <si>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</si>
  <si>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</si>
  <si>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</si>
  <si>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</si>
  <si>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</si>
  <si>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</si>
  <si>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</si>
  <si>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</si>
  <si>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</si>
  <si>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</si>
  <si>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</si>
  <si>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</si>
  <si>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</si>
  <si>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</si>
  <si>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</si>
  <si>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</si>
  <si>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</si>
  <si>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</si>
  <si>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</si>
  <si>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</si>
  <si>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</si>
  <si>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</si>
  <si>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</si>
  <si>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</si>
  <si>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</si>
  <si>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</si>
  <si>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</si>
  <si>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</si>
  <si>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</si>
  <si>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</si>
  <si>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</si>
  <si>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</si>
  <si>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</si>
  <si>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</si>
  <si>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</si>
  <si>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</si>
  <si>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</si>
  <si>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</si>
  <si>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</si>
  <si>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</si>
  <si>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</si>
  <si>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</si>
  <si>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</si>
  <si>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</si>
  <si>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</si>
  <si>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</si>
  <si>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</si>
  <si>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</si>
  <si>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</si>
  <si>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</si>
  <si>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</si>
  <si>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</si>
  <si>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</si>
  <si>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</si>
  <si>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</si>
  <si>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</si>
  <si>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</si>
  <si>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</si>
  <si>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</si>
  <si>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</si>
  <si>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</si>
  <si>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</si>
  <si>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</si>
  <si>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</si>
  <si>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</si>
  <si>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</si>
  <si>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</si>
  <si>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</si>
  <si>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</si>
  <si>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</si>
  <si>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</si>
  <si>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</si>
  <si>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</si>
  <si>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</si>
  <si>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</si>
  <si>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</si>
  <si>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</si>
  <si>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</si>
  <si>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</si>
  <si>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</si>
  <si>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</si>
  <si>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</si>
  <si>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</si>
  <si>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</si>
  <si>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</si>
  <si>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</si>
  <si>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</si>
  <si>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</si>
  <si>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</si>
  <si>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</si>
  <si>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</si>
  <si>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</si>
  <si>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</si>
  <si>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</si>
  <si>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</si>
  <si>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</si>
  <si>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</si>
  <si>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</si>
  <si>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</si>
  <si>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</si>
  <si>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</si>
  <si>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</si>
  <si>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</si>
  <si>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</si>
  <si>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</si>
  <si>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</si>
  <si>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</si>
  <si>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</si>
  <si>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</si>
  <si>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</si>
  <si>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</si>
  <si>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</si>
  <si>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</si>
  <si>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</si>
  <si>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</si>
  <si>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</si>
  <si>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</si>
  <si>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</si>
  <si>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</si>
  <si>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</si>
  <si>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</si>
  <si>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</si>
  <si>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</si>
  <si>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</si>
  <si>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</si>
  <si>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</si>
  <si>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</si>
  <si>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</si>
  <si>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</si>
  <si>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</si>
  <si>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</si>
  <si>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</si>
  <si>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</si>
  <si>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</si>
  <si>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</si>
  <si>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</si>
  <si>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</si>
  <si>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</si>
  <si>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</si>
  <si>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</si>
  <si>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</si>
  <si>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</si>
  <si>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</si>
  <si>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</si>
  <si>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</si>
  <si>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</si>
  <si>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</si>
  <si>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</si>
  <si>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</si>
  <si>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</si>
  <si>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</si>
  <si>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</si>
  <si>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</si>
  <si>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</si>
  <si>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</si>
  <si>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</si>
  <si>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</si>
  <si>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</si>
  <si>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</si>
  <si>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</si>
  <si>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</si>
  <si>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</si>
  <si>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</si>
  <si>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</si>
  <si>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</si>
  <si>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</si>
  <si>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</si>
  <si>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</si>
  <si>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</si>
  <si>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</si>
  <si>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</si>
  <si>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</si>
  <si>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</si>
  <si>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</si>
  <si>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</si>
  <si>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</si>
  <si>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</si>
  <si>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</si>
  <si>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</si>
  <si>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</si>
  <si>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</si>
  <si>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</si>
  <si>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</si>
  <si>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</si>
  <si>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</si>
  <si>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</si>
  <si>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</si>
  <si>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</si>
  <si>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</si>
  <si>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</si>
  <si>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</si>
  <si>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</si>
  <si>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</si>
  <si>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</si>
  <si>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</si>
  <si>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</si>
  <si>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</si>
  <si>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</si>
  <si>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</si>
  <si>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</si>
  <si>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</si>
  <si>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</si>
  <si>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</si>
  <si>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</si>
  <si>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</si>
  <si>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</si>
  <si>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</si>
  <si>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</si>
  <si>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</si>
  <si>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</si>
  <si>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</si>
  <si>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</si>
  <si>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</si>
  <si>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</si>
  <si>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</si>
  <si>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</si>
  <si>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</si>
  <si>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</si>
  <si>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</si>
  <si>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</si>
  <si>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</si>
  <si>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</si>
  <si>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</si>
  <si>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</si>
  <si>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</si>
  <si>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</si>
  <si>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</si>
  <si>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</si>
  <si>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</si>
  <si>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</si>
  <si>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</si>
  <si>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</si>
  <si>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</si>
  <si>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</si>
  <si>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</si>
  <si>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</si>
  <si>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</si>
  <si>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</si>
  <si>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</si>
  <si>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</si>
  <si>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</si>
  <si>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</si>
  <si>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</si>
  <si>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</si>
  <si>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</si>
  <si>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</si>
  <si>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</si>
  <si>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</si>
  <si>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</si>
  <si>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</si>
  <si>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</si>
  <si>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</si>
  <si>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</si>
  <si>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</si>
  <si>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</si>
  <si>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</si>
  <si>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</si>
  <si>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</si>
  <si>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</si>
  <si>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</si>
  <si>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</si>
  <si>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</si>
  <si>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</si>
  <si>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</si>
  <si>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</si>
  <si>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</si>
  <si>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</si>
  <si>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</si>
  <si>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</si>
  <si>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</si>
  <si>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</si>
  <si>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</si>
  <si>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</si>
  <si>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</si>
  <si>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</si>
  <si>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</si>
  <si>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</si>
  <si>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</si>
  <si>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</si>
  <si>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</si>
  <si>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</si>
  <si>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</si>
  <si>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</si>
  <si>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</si>
  <si>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</si>
  <si>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</si>
  <si>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</si>
  <si>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</si>
  <si>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</si>
  <si>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</si>
  <si>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</si>
  <si>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</si>
  <si>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</si>
  <si>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</si>
  <si>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</si>
  <si>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</si>
  <si>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</si>
  <si>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</si>
  <si>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</si>
  <si>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</si>
  <si>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</si>
  <si>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</si>
  <si>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</si>
  <si>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</si>
  <si>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</si>
  <si>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</si>
  <si>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</si>
  <si>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</si>
  <si>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</si>
  <si>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</si>
  <si>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</si>
  <si>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</si>
  <si>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</si>
  <si>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</si>
  <si>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</si>
  <si>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</si>
  <si>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</si>
  <si>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</si>
  <si>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</si>
  <si>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</si>
  <si>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</si>
  <si>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</si>
  <si>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</si>
  <si>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</si>
  <si>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</si>
  <si>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</si>
  <si>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</si>
  <si>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</si>
  <si>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</si>
  <si>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</si>
  <si>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</si>
  <si>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</si>
  <si>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</si>
  <si>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</si>
  <si>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</si>
  <si>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</si>
  <si>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</si>
  <si>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</si>
  <si>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</si>
  <si>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</si>
  <si>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</si>
  <si>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</si>
  <si>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</si>
  <si>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</si>
  <si>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</si>
  <si>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</si>
  <si>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</si>
  <si>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</si>
  <si>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</si>
  <si>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</si>
  <si>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</si>
  <si>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</si>
  <si>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</si>
  <si>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</si>
  <si>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</si>
  <si>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</si>
  <si>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</si>
  <si>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</si>
  <si>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</si>
  <si>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</si>
  <si>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</si>
  <si>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</si>
  <si>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</si>
  <si>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</si>
  <si>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</si>
  <si>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</si>
  <si>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</si>
  <si>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</si>
  <si>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</si>
  <si>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</si>
  <si>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</si>
  <si>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</si>
  <si>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</si>
  <si>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</si>
  <si>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</si>
  <si>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</si>
  <si>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</si>
  <si>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</si>
  <si>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</si>
  <si>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</si>
  <si>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</si>
  <si>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</si>
  <si>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</si>
  <si>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</si>
  <si>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</si>
  <si>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</si>
  <si>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</si>
  <si>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</si>
  <si>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</si>
  <si>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</si>
  <si>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</si>
  <si>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</si>
  <si>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</si>
  <si>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</si>
  <si>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</si>
  <si>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</si>
  <si>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</si>
  <si>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</si>
  <si>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</si>
  <si>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</si>
  <si>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</si>
  <si>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</si>
  <si>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</si>
  <si>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</si>
  <si>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</si>
  <si>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</si>
  <si>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</si>
  <si>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</si>
  <si>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</si>
  <si>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</si>
  <si>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</si>
  <si>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</si>
  <si>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</si>
  <si>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</si>
  <si>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</si>
  <si>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</si>
  <si>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</si>
  <si>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</si>
  <si>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</si>
  <si>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</si>
  <si>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</si>
  <si>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</si>
  <si>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</si>
  <si>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</si>
  <si>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</si>
  <si>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</si>
  <si>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</si>
  <si>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</si>
  <si>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</si>
  <si>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</si>
  <si>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</si>
  <si>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</si>
  <si>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</si>
  <si>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</si>
  <si>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</si>
  <si>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</si>
  <si>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</si>
  <si>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</si>
  <si>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</si>
  <si>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</si>
  <si>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</si>
  <si>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</si>
  <si>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</si>
  <si>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</si>
  <si>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</si>
  <si>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</si>
  <si>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</si>
  <si>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</si>
  <si>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</si>
  <si>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</si>
  <si>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</si>
  <si>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</si>
  <si>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</si>
  <si>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</si>
  <si>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</si>
  <si>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</si>
  <si>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</si>
  <si>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</si>
  <si>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</si>
  <si>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</si>
  <si>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</si>
  <si>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</si>
  <si>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</si>
  <si>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</si>
  <si>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</si>
  <si>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</si>
  <si>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</si>
  <si>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</si>
  <si>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</si>
  <si>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</si>
  <si>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</si>
  <si>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</si>
  <si>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</si>
  <si>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</si>
  <si>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</si>
  <si>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</si>
  <si>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</si>
  <si>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</si>
  <si>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</si>
  <si>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</si>
  <si>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</si>
  <si>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</si>
  <si>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</si>
  <si>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</si>
  <si>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</si>
  <si>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</si>
  <si>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</si>
  <si>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</si>
  <si>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</si>
  <si>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</si>
  <si>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</si>
  <si>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</si>
  <si>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</si>
  <si>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</si>
  <si>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</si>
  <si>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</si>
  <si>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</si>
  <si>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</si>
  <si>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</si>
  <si>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</si>
  <si>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</si>
  <si>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</si>
  <si>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</si>
  <si>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</si>
  <si>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</si>
  <si>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</si>
  <si>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</si>
  <si>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</si>
  <si>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</si>
  <si>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</si>
  <si>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</si>
  <si>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</si>
  <si>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</si>
  <si>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</si>
  <si>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</si>
  <si>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</si>
  <si>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</si>
  <si>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</si>
  <si>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</si>
  <si>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</si>
  <si>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</si>
  <si>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</si>
  <si>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</si>
  <si>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</si>
  <si>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</si>
  <si>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</si>
  <si>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</si>
  <si>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</si>
  <si>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</si>
  <si>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</si>
  <si>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</si>
  <si>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</si>
  <si>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</si>
  <si>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</si>
  <si>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</si>
  <si>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</si>
  <si>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</si>
  <si>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</si>
  <si>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</si>
  <si>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</si>
  <si>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</si>
  <si>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</si>
  <si>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</si>
  <si>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</si>
  <si>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</si>
  <si>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</si>
  <si>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</si>
  <si>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</si>
  <si>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</si>
  <si>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</si>
  <si>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</si>
  <si>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</si>
  <si>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</si>
  <si>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</si>
  <si>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</si>
  <si>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</si>
  <si>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</si>
  <si>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</si>
  <si>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</si>
  <si>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</si>
  <si>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</si>
  <si>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</si>
  <si>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</si>
  <si>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</si>
  <si>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</si>
  <si>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</si>
  <si>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</si>
  <si>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</si>
  <si>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</si>
  <si>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</si>
  <si>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</si>
  <si>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</si>
  <si>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</si>
  <si>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</si>
  <si>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</si>
  <si>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</si>
  <si>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</si>
  <si>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</si>
  <si>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</si>
  <si>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</si>
  <si>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</si>
  <si>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</si>
  <si>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</si>
  <si>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</si>
  <si>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</si>
  <si>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</si>
  <si>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</si>
  <si>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</si>
  <si>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</si>
  <si>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</si>
  <si>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</si>
  <si>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</si>
  <si>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</si>
  <si>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</si>
  <si>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</si>
  <si>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</si>
  <si>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</si>
  <si>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</si>
  <si>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</si>
  <si>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</si>
  <si>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</si>
  <si>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</si>
  <si>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</si>
  <si>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</si>
  <si>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</si>
  <si>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</si>
  <si>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</si>
  <si>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</si>
  <si>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</si>
  <si>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</si>
  <si>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</si>
  <si>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</si>
  <si>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</si>
  <si>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</si>
  <si>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</si>
  <si>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</si>
  <si>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</si>
  <si>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</si>
  <si>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</si>
  <si>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</si>
  <si>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</si>
  <si>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</si>
  <si>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</si>
  <si>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</si>
  <si>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</si>
  <si>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</si>
  <si>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</si>
  <si>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</si>
  <si>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</si>
  <si>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</si>
  <si>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</si>
  <si>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</si>
  <si>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</si>
  <si>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</si>
  <si>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</si>
  <si>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</si>
  <si>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</si>
  <si>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</si>
  <si>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</si>
  <si>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</si>
  <si>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</si>
  <si>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</si>
  <si>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</si>
  <si>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</si>
  <si>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</si>
  <si>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</si>
  <si>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</si>
  <si>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</si>
  <si>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</si>
  <si>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</si>
  <si>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</si>
  <si>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</si>
  <si>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</si>
  <si>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</si>
  <si>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</si>
  <si>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</si>
  <si>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</si>
  <si>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</si>
  <si>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</si>
  <si>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</si>
  <si>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</si>
  <si>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</si>
  <si>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</si>
  <si>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</si>
  <si>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</si>
  <si>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</si>
  <si>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</si>
  <si>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</si>
  <si>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</si>
  <si>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</si>
  <si>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</si>
  <si>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</si>
  <si>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</si>
  <si>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</si>
  <si>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</si>
  <si>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</si>
  <si>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</si>
  <si>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</si>
  <si>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</si>
  <si>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</si>
  <si>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</si>
  <si>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</si>
  <si>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</si>
  <si>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</si>
  <si>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</si>
  <si>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</si>
  <si>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</si>
  <si>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</si>
  <si>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</si>
  <si>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</si>
  <si>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</si>
  <si>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</si>
  <si>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</si>
  <si>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</si>
  <si>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</si>
  <si>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</si>
  <si>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</si>
  <si>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</si>
  <si>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</si>
  <si>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</si>
  <si>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</si>
  <si>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</si>
  <si>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</si>
  <si>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</si>
  <si>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</si>
  <si>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</si>
  <si>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</si>
  <si>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</si>
  <si>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</si>
  <si>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</si>
  <si>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</si>
  <si>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</si>
  <si>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</si>
  <si>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</si>
  <si>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</si>
  <si>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</si>
  <si>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</si>
  <si>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</si>
  <si>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</si>
  <si>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</si>
  <si>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</si>
  <si>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</si>
  <si>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</si>
  <si>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</si>
  <si>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</si>
  <si>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</si>
  <si>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</si>
  <si>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</si>
  <si>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</si>
  <si>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</si>
  <si>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</si>
  <si>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</si>
  <si>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</si>
  <si>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</si>
  <si>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</si>
  <si>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</si>
  <si>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</si>
  <si>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</si>
  <si>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</si>
  <si>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</si>
  <si>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</si>
  <si>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</si>
  <si>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</si>
  <si>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</si>
  <si>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</si>
  <si>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</si>
  <si>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</si>
  <si>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</si>
  <si>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</si>
  <si>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</si>
  <si>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</si>
  <si>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</si>
  <si>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</si>
  <si>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</si>
  <si>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</si>
  <si>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</si>
  <si>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</si>
  <si>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</si>
  <si>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</si>
  <si>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</si>
  <si>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</si>
  <si>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</si>
  <si>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</si>
  <si>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</si>
  <si>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</si>
  <si>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</si>
  <si>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</si>
  <si>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</si>
  <si>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</si>
  <si>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</si>
  <si>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</si>
  <si>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</si>
  <si>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</si>
  <si>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</si>
  <si>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</si>
  <si>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</si>
  <si>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</si>
  <si>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</si>
  <si>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</si>
  <si>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</si>
  <si>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</si>
  <si>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</si>
  <si>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</si>
  <si>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</si>
  <si>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</si>
  <si>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</si>
  <si>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</si>
  <si>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</si>
  <si>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</si>
  <si>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</si>
  <si>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</si>
  <si>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</si>
  <si>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</si>
  <si>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</si>
  <si>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</si>
  <si>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</si>
  <si>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</si>
  <si>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</si>
  <si>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</si>
  <si>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</si>
  <si>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</si>
  <si>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</si>
  <si>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</si>
  <si>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</si>
  <si>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</si>
  <si>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</si>
  <si>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</si>
  <si>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</si>
  <si>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</si>
  <si>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</si>
  <si>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</si>
  <si>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</si>
  <si>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</si>
  <si>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</si>
  <si>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</si>
  <si>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</si>
  <si>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</si>
  <si>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</si>
  <si>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</si>
  <si>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</si>
  <si>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</si>
  <si>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</si>
  <si>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</si>
  <si>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</si>
  <si>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</si>
  <si>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</si>
  <si>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</si>
  <si>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</si>
  <si>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</si>
  <si>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</si>
  <si>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</si>
  <si>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</si>
  <si>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</si>
  <si>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</si>
  <si>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</si>
  <si>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</si>
  <si>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</si>
  <si>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</si>
  <si>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</si>
  <si>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</si>
  <si>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</si>
  <si>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</si>
  <si>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</si>
  <si>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</si>
  <si>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</si>
  <si>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</si>
  <si>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</si>
  <si>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</si>
  <si>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</si>
  <si>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</si>
  <si>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</si>
  <si>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</si>
  <si>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</si>
  <si>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</si>
  <si>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</si>
  <si>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</si>
  <si>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</si>
  <si>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</si>
  <si>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</si>
  <si>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</si>
  <si>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</si>
  <si>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</si>
  <si>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</si>
  <si>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</si>
  <si>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</si>
  <si>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</si>
  <si>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</si>
  <si>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</si>
  <si>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</si>
  <si>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</si>
  <si>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</si>
  <si>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</si>
  <si>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</si>
  <si>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</si>
  <si>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</si>
  <si>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</si>
  <si>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</si>
  <si>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</si>
  <si>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</si>
  <si>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</si>
  <si>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</si>
  <si>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</si>
  <si>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</si>
  <si>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</si>
  <si>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</si>
  <si>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</si>
  <si>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</si>
  <si>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</si>
  <si>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</si>
  <si>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</si>
  <si>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</si>
  <si>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</si>
  <si>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</si>
  <si>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</si>
  <si>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</si>
  <si>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</si>
  <si>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</si>
  <si>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</si>
  <si>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</si>
  <si>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</si>
  <si>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</si>
  <si>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</si>
  <si>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</si>
  <si>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</si>
  <si>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</si>
  <si>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</si>
  <si>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</si>
  <si>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</si>
  <si>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</si>
  <si>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</si>
  <si>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</si>
  <si>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</si>
  <si>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</si>
  <si>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</si>
  <si>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</si>
  <si>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</si>
  <si>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</si>
  <si>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</si>
  <si>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</si>
  <si>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</si>
  <si>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</si>
  <si>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</si>
  <si>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</si>
  <si>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</si>
  <si>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</si>
  <si>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</si>
  <si>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</si>
  <si>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</si>
  <si>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</si>
  <si>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</si>
  <si>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</si>
  <si>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</si>
  <si>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</si>
  <si>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</si>
  <si>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</si>
  <si>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</si>
  <si>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</si>
  <si>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</si>
  <si>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</si>
  <si>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</si>
  <si>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</si>
  <si>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</si>
  <si>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</si>
  <si>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</si>
  <si>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</si>
  <si>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</si>
  <si>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</si>
  <si>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</si>
  <si>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</si>
  <si>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</si>
  <si>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</si>
  <si>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</si>
  <si>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</si>
  <si>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</si>
  <si>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</si>
  <si>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</si>
  <si>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</si>
  <si>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</si>
  <si>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</si>
  <si>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</si>
  <si>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</si>
  <si>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</si>
  <si>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</si>
  <si>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</si>
  <si>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</si>
  <si>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</si>
  <si>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</si>
  <si>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</si>
  <si>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</si>
  <si>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</si>
  <si>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</si>
  <si>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</si>
  <si>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</si>
  <si>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</si>
  <si>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</si>
  <si>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</si>
  <si>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</si>
  <si>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</si>
  <si>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</si>
  <si>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</si>
  <si>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</si>
  <si>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</si>
  <si>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</si>
  <si>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</si>
  <si>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</si>
  <si>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</si>
  <si>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</si>
  <si>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</si>
  <si>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</si>
  <si>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</si>
  <si>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</si>
  <si>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</si>
  <si>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</si>
  <si>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</si>
  <si>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</si>
  <si>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</si>
  <si>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</si>
  <si>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</si>
  <si>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</si>
  <si>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</si>
  <si>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</si>
  <si>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</si>
  <si>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</si>
  <si>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</si>
  <si>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</si>
  <si>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</si>
  <si>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</si>
  <si>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</si>
  <si>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</si>
  <si>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</si>
  <si>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</si>
  <si>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</si>
  <si>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</si>
  <si>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</si>
  <si>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</si>
  <si>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</si>
  <si>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</si>
  <si>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</si>
  <si>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</si>
  <si>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</si>
  <si>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</si>
  <si>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</si>
  <si>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</si>
  <si>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</si>
  <si>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</si>
  <si>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</si>
  <si>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</si>
  <si>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</si>
  <si>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</si>
  <si>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</si>
  <si>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</si>
  <si>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</si>
  <si>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</si>
  <si>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</si>
  <si>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</si>
  <si>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</si>
  <si>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</si>
  <si>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</si>
  <si>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</si>
  <si>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</si>
  <si>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</si>
  <si>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</si>
  <si>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</si>
  <si>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</si>
  <si>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</si>
  <si>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</si>
  <si>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</si>
  <si>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</si>
  <si>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</si>
  <si>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</si>
  <si>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</si>
  <si>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</si>
  <si>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</si>
  <si>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</si>
  <si>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</si>
  <si>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</si>
  <si>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</si>
  <si>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</si>
  <si>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</si>
  <si>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</si>
  <si>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</si>
  <si>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</si>
  <si>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</si>
  <si>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</si>
  <si>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</si>
  <si>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</si>
  <si>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</si>
  <si>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</si>
  <si>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</si>
  <si>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</si>
  <si>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</si>
  <si>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</si>
  <si>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</si>
  <si>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</si>
  <si>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</si>
  <si>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</si>
  <si>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</si>
  <si>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</si>
  <si>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</si>
  <si>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</si>
  <si>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</si>
  <si>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</si>
  <si>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</si>
  <si>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</si>
  <si>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</si>
  <si>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</si>
  <si>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</si>
  <si>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</si>
  <si>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</si>
  <si>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</si>
  <si>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</si>
  <si>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</si>
  <si>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</si>
  <si>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</si>
  <si>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</si>
  <si>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</si>
  <si>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</si>
  <si>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</si>
  <si>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</si>
  <si>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</si>
  <si>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</si>
  <si>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</si>
  <si>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</si>
  <si>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</si>
  <si>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</si>
  <si>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</si>
  <si>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</si>
  <si>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</si>
  <si>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</si>
  <si>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</si>
  <si>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</si>
  <si>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</si>
  <si>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</si>
  <si>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</si>
  <si>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</si>
  <si>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</si>
  <si>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</si>
  <si>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</si>
  <si>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</si>
  <si>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</si>
  <si>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</si>
  <si>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</si>
  <si>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</si>
  <si>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</si>
  <si>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</si>
  <si>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</si>
  <si>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</si>
  <si>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</si>
  <si>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</si>
  <si>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</si>
  <si>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</si>
  <si>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</si>
  <si>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</si>
  <si>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</si>
  <si>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</si>
  <si>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</si>
  <si>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</si>
  <si>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</si>
  <si>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</si>
  <si>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</si>
  <si>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</si>
  <si>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</si>
  <si>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</si>
  <si>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</si>
  <si>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</si>
  <si>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</si>
  <si>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</si>
  <si>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</si>
  <si>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</si>
  <si>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</si>
  <si>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</si>
  <si>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</si>
  <si>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</si>
  <si>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</si>
  <si>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</si>
  <si>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</si>
  <si>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</si>
  <si>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</si>
  <si>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</si>
  <si>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</si>
  <si>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</si>
  <si>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</si>
  <si>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</si>
  <si>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</si>
  <si>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</si>
  <si>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</si>
  <si>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</si>
  <si>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</si>
  <si>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</si>
  <si>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</si>
  <si>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</si>
  <si>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</si>
  <si>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</si>
  <si>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</si>
  <si>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</si>
  <si>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</si>
  <si>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</si>
  <si>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</si>
  <si>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</si>
  <si>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</si>
  <si>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</si>
  <si>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</si>
  <si>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</si>
  <si>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</si>
  <si>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</si>
  <si>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</si>
  <si>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</si>
  <si>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</si>
  <si>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</si>
  <si>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</si>
  <si>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</si>
  <si>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</si>
  <si>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</si>
  <si>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</si>
  <si>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</si>
  <si>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</si>
  <si>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</si>
  <si>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</si>
  <si>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</si>
  <si>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</si>
  <si>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</si>
  <si>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</si>
  <si>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</si>
  <si>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</si>
  <si>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</si>
  <si>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</si>
  <si>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</si>
  <si>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</si>
  <si>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</si>
  <si>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</si>
  <si>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</si>
  <si>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</si>
  <si>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</si>
  <si>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</si>
  <si>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</si>
  <si>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</si>
  <si>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</si>
  <si>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</si>
  <si>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</si>
  <si>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</si>
  <si>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</si>
  <si>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</si>
  <si>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</si>
  <si>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</si>
  <si>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</si>
  <si>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</si>
  <si>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</si>
  <si>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</si>
  <si>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</si>
  <si>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</si>
  <si>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</si>
  <si>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</si>
  <si>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</si>
  <si>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</si>
  <si>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</si>
  <si>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</si>
  <si>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</si>
  <si>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</si>
  <si>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</si>
  <si>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</si>
  <si>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</si>
  <si>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</si>
  <si>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</si>
  <si>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</si>
  <si>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</si>
  <si>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</si>
  <si>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</si>
  <si>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</si>
  <si>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</si>
  <si>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</si>
  <si>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</si>
  <si>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</si>
  <si>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</si>
  <si>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</si>
  <si>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</si>
  <si>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</si>
  <si>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</si>
  <si>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</si>
  <si>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</si>
  <si>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</si>
  <si>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</si>
  <si>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</si>
  <si>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</si>
  <si>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</si>
  <si>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</si>
  <si>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</si>
  <si>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</si>
  <si>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</si>
  <si>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</si>
  <si>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</si>
  <si>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</si>
  <si>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</si>
  <si>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</si>
  <si>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</si>
  <si>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</si>
  <si>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</si>
  <si>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</si>
  <si>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</si>
  <si>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</si>
  <si>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</si>
  <si>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</si>
  <si>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</si>
  <si>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</si>
  <si>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</si>
  <si>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</si>
  <si>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</si>
  <si>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</si>
  <si>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</si>
  <si>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</si>
  <si>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</si>
  <si>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</si>
  <si>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</si>
  <si>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</si>
  <si>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</si>
  <si>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</si>
  <si>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</si>
  <si>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</si>
  <si>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</si>
  <si>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</si>
  <si>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</si>
  <si>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</si>
  <si>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</si>
  <si>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</si>
  <si>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</si>
  <si>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</si>
  <si>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</si>
  <si>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</si>
  <si>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</si>
  <si>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</si>
  <si>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</si>
  <si>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</si>
  <si>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</si>
  <si>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</si>
  <si>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</si>
  <si>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</si>
  <si>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</si>
  <si>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</si>
  <si>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</si>
  <si>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</si>
  <si>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</si>
  <si>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</si>
  <si>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</si>
  <si>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</si>
  <si>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</si>
  <si>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</si>
  <si>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</si>
  <si>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</si>
  <si>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</si>
  <si>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</si>
  <si>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</si>
  <si>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</si>
  <si>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</si>
  <si>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</si>
  <si>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</si>
  <si>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</si>
  <si>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</si>
  <si>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</si>
  <si>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</si>
  <si>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</si>
  <si>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</si>
  <si>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</si>
  <si>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</si>
  <si>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</si>
  <si>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</si>
  <si>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</si>
  <si>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</si>
  <si>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</si>
  <si>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</si>
  <si>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</si>
  <si>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</si>
  <si>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</si>
  <si>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</si>
  <si>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</si>
  <si>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</si>
  <si>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</si>
  <si>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</si>
  <si>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</si>
  <si>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</si>
  <si>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</si>
  <si>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</si>
  <si>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</si>
  <si>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</si>
  <si>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</si>
  <si>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</si>
  <si>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</si>
  <si>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</si>
  <si>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</si>
  <si>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</si>
  <si>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</si>
  <si>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</si>
  <si>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</si>
  <si>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</si>
  <si>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</si>
  <si>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</si>
  <si>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</si>
  <si>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</si>
  <si>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</si>
  <si>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</si>
  <si>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</si>
  <si>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</si>
  <si>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</si>
  <si>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</si>
  <si>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</si>
  <si>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</si>
  <si>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</si>
  <si>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</si>
  <si>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</si>
  <si>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</si>
  <si>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</si>
  <si>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</si>
  <si>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</si>
  <si>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</si>
  <si>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</si>
  <si>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</si>
  <si>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</si>
  <si>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</si>
  <si>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</si>
  <si>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</si>
  <si>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</si>
  <si>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</si>
  <si>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</si>
  <si>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</si>
  <si>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</si>
  <si>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</si>
  <si>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</si>
  <si>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</si>
  <si>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</si>
  <si>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</si>
  <si>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</si>
  <si>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</si>
  <si>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</si>
  <si>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</si>
  <si>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</si>
  <si>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</si>
  <si>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</si>
  <si>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</si>
  <si>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</si>
  <si>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</si>
  <si>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</si>
  <si>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</si>
  <si>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</si>
  <si>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</si>
  <si>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</si>
  <si>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</si>
  <si>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</si>
  <si>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</si>
  <si>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</si>
  <si>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</si>
  <si>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</si>
  <si>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</si>
  <si>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</si>
  <si>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</si>
  <si>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</si>
  <si>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</si>
  <si>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</si>
  <si>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</si>
  <si>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</si>
  <si>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</si>
  <si>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</si>
  <si>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</si>
  <si>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</si>
  <si>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</si>
  <si>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</si>
  <si>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</si>
  <si>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</si>
  <si>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</si>
  <si>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</si>
  <si>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</si>
  <si>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</si>
  <si>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</si>
  <si>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</si>
  <si>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</si>
  <si>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</si>
  <si>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</si>
  <si>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</si>
  <si>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</si>
  <si>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</si>
  <si>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</si>
  <si>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</si>
  <si>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</si>
  <si>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</si>
  <si>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</si>
  <si>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</si>
  <si>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</si>
  <si>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</si>
  <si>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</si>
  <si>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</si>
  <si>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</si>
  <si>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</si>
  <si>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</si>
  <si>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</si>
  <si>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</si>
  <si>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</si>
  <si>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</si>
  <si>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</si>
  <si>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</si>
  <si>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</si>
  <si>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</si>
  <si>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</si>
  <si>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</si>
  <si>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</si>
  <si>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</si>
  <si>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</si>
  <si>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</si>
  <si>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</si>
  <si>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</si>
  <si>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</si>
  <si>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</si>
  <si>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</si>
  <si>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</si>
  <si>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</si>
  <si>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</si>
  <si>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</si>
  <si>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</si>
  <si>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</si>
  <si>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</si>
  <si>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</si>
  <si>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</si>
  <si>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</si>
  <si>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</si>
  <si>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</si>
  <si>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</si>
  <si>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</si>
  <si>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</si>
  <si>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</si>
  <si>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</si>
  <si>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</si>
  <si>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</si>
  <si>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</si>
  <si>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</si>
  <si>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</si>
  <si>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</si>
  <si>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</si>
  <si>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</si>
  <si>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</si>
  <si>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</si>
  <si>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</si>
  <si>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</si>
  <si>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</si>
  <si>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</si>
  <si>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</si>
  <si>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</si>
  <si>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</si>
  <si>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</si>
  <si>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</si>
  <si>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</si>
  <si>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</si>
  <si>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</si>
  <si>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</si>
  <si>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</si>
  <si>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</si>
  <si>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</si>
  <si>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</si>
  <si>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</si>
  <si>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</si>
  <si>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</si>
  <si>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</si>
  <si>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</si>
  <si>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</si>
  <si>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</si>
  <si>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</si>
  <si>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</si>
  <si>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</si>
  <si>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</si>
  <si>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</si>
  <si>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</si>
  <si>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</si>
  <si>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</si>
  <si>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</si>
  <si>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</si>
  <si>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</si>
  <si>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</si>
  <si>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</si>
  <si>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</si>
  <si>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</si>
  <si>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</si>
  <si>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</si>
  <si>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</si>
  <si>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</si>
  <si>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</si>
  <si>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</si>
  <si>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</si>
  <si>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</si>
  <si>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</si>
  <si>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</si>
  <si>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</si>
  <si>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</si>
  <si>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</si>
  <si>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</si>
  <si>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</si>
  <si>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</si>
  <si>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</si>
  <si>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</si>
  <si>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</si>
  <si>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</si>
  <si>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</si>
  <si>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</si>
  <si>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</si>
  <si>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</si>
  <si>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</si>
  <si>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</si>
  <si>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</si>
  <si>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</si>
  <si>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</si>
  <si>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</si>
  <si>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</si>
  <si>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</si>
  <si>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</si>
  <si>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</si>
  <si>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</si>
  <si>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</si>
  <si>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</si>
  <si>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</si>
  <si>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</si>
  <si>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</si>
  <si>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</si>
  <si>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</si>
  <si>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</si>
  <si>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</si>
  <si>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</si>
  <si>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</si>
  <si>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</si>
  <si>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</si>
  <si>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</si>
  <si>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</si>
  <si>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</si>
  <si>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</si>
  <si>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</si>
  <si>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</si>
  <si>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</si>
  <si>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</si>
  <si>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</si>
  <si>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</si>
  <si>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</si>
  <si>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</si>
  <si>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</si>
  <si>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</si>
  <si>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</si>
  <si>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</si>
  <si>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</si>
  <si>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</si>
  <si>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</si>
  <si>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</si>
  <si>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</si>
  <si>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</si>
  <si>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</si>
  <si>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</si>
  <si>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</si>
  <si>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</si>
  <si>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</si>
  <si>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</si>
  <si>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</si>
  <si>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</si>
  <si>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</si>
  <si>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</si>
  <si>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</si>
  <si>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</si>
  <si>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</si>
  <si>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</si>
  <si>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</si>
  <si>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</si>
  <si>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</si>
  <si>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</si>
  <si>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</si>
  <si>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</si>
  <si>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</si>
  <si>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</si>
  <si>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</si>
  <si>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</si>
  <si>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</si>
  <si>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</si>
  <si>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</si>
  <si>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</si>
  <si>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</si>
  <si>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</si>
  <si>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</si>
  <si>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</si>
  <si>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</si>
  <si>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</si>
  <si>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</si>
  <si>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</si>
  <si>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</si>
  <si>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</si>
  <si>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</si>
  <si>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</si>
  <si>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</si>
  <si>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</si>
  <si>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</si>
  <si>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</si>
  <si>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</si>
  <si>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</si>
  <si>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</si>
  <si>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</si>
  <si>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</si>
  <si>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</si>
  <si>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</si>
  <si>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</si>
  <si>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</si>
  <si>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</si>
  <si>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</si>
  <si>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</si>
  <si>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</si>
  <si>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</si>
  <si>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</si>
  <si>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</si>
  <si>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</si>
  <si>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</si>
  <si>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</si>
  <si>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</si>
  <si>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</si>
  <si>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</si>
  <si>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</si>
  <si>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</si>
  <si>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</si>
  <si>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</si>
  <si>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</si>
  <si>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</si>
  <si>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</si>
  <si>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</si>
  <si>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</si>
  <si>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</si>
  <si>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</si>
  <si>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</si>
  <si>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</si>
  <si>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</si>
  <si>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</si>
  <si>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</si>
  <si>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</si>
  <si>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</si>
  <si>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</si>
  <si>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</si>
  <si>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</si>
  <si>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</si>
  <si>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</si>
  <si>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</si>
  <si>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</si>
  <si>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</si>
  <si>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</si>
  <si>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</si>
  <si>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</si>
  <si>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</si>
  <si>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</si>
  <si>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</si>
  <si>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</si>
  <si>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</si>
  <si>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</si>
  <si>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</si>
  <si>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</si>
  <si>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</si>
  <si>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</si>
  <si>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</si>
  <si>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</si>
  <si>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</si>
  <si>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</si>
  <si>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</si>
  <si>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</si>
  <si>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</si>
  <si>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</si>
  <si>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</si>
  <si>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</si>
  <si>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</si>
  <si>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</si>
  <si>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</si>
  <si>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</si>
  <si>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</si>
  <si>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</si>
  <si>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</si>
  <si>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</si>
  <si>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</si>
  <si>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</si>
  <si>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</si>
  <si>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</si>
  <si>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</si>
  <si>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</si>
  <si>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</si>
  <si>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</si>
  <si>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</si>
  <si>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</si>
  <si>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</si>
  <si>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</si>
  <si>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</si>
  <si>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</si>
  <si>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</si>
  <si>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</si>
  <si>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</si>
  <si>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</si>
  <si>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</si>
  <si>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</si>
  <si>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</si>
  <si>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</si>
  <si>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</si>
  <si>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</si>
  <si>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</si>
  <si>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</si>
  <si>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</si>
  <si>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</si>
  <si>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</si>
  <si>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</si>
  <si>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</si>
  <si>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</si>
  <si>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</si>
  <si>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</si>
  <si>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</si>
  <si>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</si>
  <si>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</si>
  <si>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</si>
  <si>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</si>
  <si>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</si>
  <si>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</si>
  <si>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</si>
  <si>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</si>
  <si>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</si>
  <si>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</si>
  <si>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</si>
  <si>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</si>
  <si>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</si>
  <si>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</si>
  <si>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</si>
  <si>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</si>
  <si>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</si>
  <si>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</si>
  <si>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</si>
  <si>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</si>
  <si>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</si>
  <si>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</si>
  <si>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</si>
  <si>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</si>
  <si>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</si>
  <si>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</si>
  <si>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</si>
  <si>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</si>
  <si>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</si>
  <si>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</si>
  <si>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</si>
  <si>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</si>
  <si>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</si>
  <si>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</si>
  <si>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</si>
  <si>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</si>
  <si>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</si>
  <si>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</si>
  <si>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</si>
  <si>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</si>
  <si>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</si>
  <si>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</si>
  <si>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</si>
  <si>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</si>
  <si>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</si>
  <si>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</si>
  <si>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</si>
  <si>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</si>
  <si>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</si>
  <si>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</si>
  <si>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</si>
  <si>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</si>
  <si>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</si>
  <si>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</si>
  <si>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</si>
  <si>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</si>
  <si>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</si>
  <si>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</si>
  <si>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</si>
  <si>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</si>
  <si>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</si>
  <si>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</si>
  <si>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</si>
  <si>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</si>
  <si>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</si>
  <si>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</si>
  <si>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</si>
  <si>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</si>
  <si>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</si>
  <si>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</si>
  <si>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</si>
  <si>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</si>
  <si>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</si>
  <si>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</si>
  <si>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</si>
  <si>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</si>
  <si>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</si>
  <si>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</si>
  <si>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</si>
  <si>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</si>
  <si>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</si>
  <si>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</si>
  <si>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</si>
  <si>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</si>
  <si>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</si>
  <si>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</si>
  <si>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</si>
  <si>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</si>
  <si>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</si>
  <si>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</si>
  <si>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</si>
  <si>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</si>
  <si>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</si>
  <si>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</si>
  <si>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</si>
  <si>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</si>
  <si>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</si>
  <si>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</si>
  <si>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</si>
  <si>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</si>
  <si>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</si>
  <si>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</si>
  <si>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</si>
  <si>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</si>
  <si>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</si>
  <si>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</si>
  <si>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</si>
  <si>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</si>
  <si>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</si>
  <si>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</si>
  <si>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</si>
  <si>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</si>
  <si>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</si>
  <si>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</si>
  <si>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</si>
  <si>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</si>
  <si>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</si>
  <si>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</si>
  <si>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</si>
  <si>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</si>
  <si>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</si>
  <si>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</si>
  <si>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</si>
  <si>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</si>
  <si>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</si>
  <si>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</si>
  <si>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</si>
  <si>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</si>
  <si>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</si>
  <si>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</si>
  <si>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</si>
  <si>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</si>
  <si>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</si>
  <si>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</si>
  <si>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</si>
  <si>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</si>
  <si>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</si>
  <si>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</si>
  <si>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</si>
  <si>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</si>
  <si>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</si>
  <si>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</si>
  <si>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</si>
  <si>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</si>
  <si>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</si>
  <si>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</si>
  <si>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</si>
  <si>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</si>
  <si>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</si>
  <si>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</si>
  <si>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</si>
  <si>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</si>
  <si>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</si>
  <si>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</si>
  <si>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</si>
  <si>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</si>
  <si>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</si>
  <si>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</si>
  <si>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</si>
  <si>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</si>
  <si>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</si>
  <si>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</si>
  <si>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</si>
  <si>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</si>
  <si>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</si>
  <si>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</si>
  <si>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</si>
  <si>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</si>
  <si>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</si>
  <si>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</si>
  <si>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</si>
  <si>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</si>
  <si>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</si>
  <si>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</si>
  <si>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</si>
  <si>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</si>
  <si>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</si>
  <si>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</si>
  <si>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</si>
  <si>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</si>
  <si>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</si>
  <si>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</si>
  <si>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</si>
  <si>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</si>
  <si>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</si>
  <si>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</si>
  <si>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</si>
  <si>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</si>
  <si>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</si>
  <si>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</si>
  <si>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</si>
  <si>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</si>
  <si>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</si>
  <si>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</si>
  <si>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</si>
  <si>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</si>
  <si>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</si>
  <si>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</si>
  <si>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</si>
  <si>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</si>
  <si>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</si>
  <si>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</si>
  <si>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</si>
  <si>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</si>
  <si>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</si>
  <si>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</si>
  <si>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</si>
  <si>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</si>
  <si>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</si>
  <si>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</si>
  <si>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</si>
  <si>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</si>
  <si>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</si>
  <si>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</si>
  <si>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</si>
  <si>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</si>
  <si>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</si>
  <si>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</si>
  <si>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</si>
  <si>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</si>
  <si>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</si>
  <si>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</si>
  <si>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</si>
  <si>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</si>
  <si>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</si>
  <si>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</si>
  <si>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</si>
  <si>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</si>
  <si>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</si>
  <si>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</si>
  <si>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</si>
  <si>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</si>
  <si>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</si>
  <si>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</si>
  <si>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</si>
  <si>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</si>
  <si>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</si>
  <si>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</si>
  <si>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</si>
  <si>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</si>
  <si>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</si>
  <si>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</si>
  <si>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</si>
  <si>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</si>
  <si>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</si>
  <si>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</si>
  <si>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</si>
  <si>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</si>
  <si>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</si>
  <si>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</si>
  <si>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</si>
  <si>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</si>
  <si>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</si>
  <si>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</si>
  <si>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</si>
  <si>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</si>
  <si>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</si>
  <si>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</si>
  <si>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</si>
  <si>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</si>
  <si>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</si>
  <si>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</si>
  <si>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</si>
  <si>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</si>
  <si>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</si>
  <si>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</si>
  <si>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</si>
  <si>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</si>
  <si>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</si>
  <si>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</si>
  <si>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</si>
  <si>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</si>
  <si>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</si>
  <si>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</si>
  <si>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</si>
  <si>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</si>
  <si>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</si>
  <si>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</si>
  <si>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</si>
  <si>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</si>
  <si>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</si>
  <si>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</si>
  <si>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</si>
  <si>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</si>
  <si>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</si>
  <si>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</si>
  <si>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</si>
  <si>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</si>
  <si>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</si>
  <si>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</si>
  <si>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</si>
  <si>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</si>
  <si>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</si>
  <si>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</si>
  <si>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</si>
  <si>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</si>
  <si>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</si>
  <si>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</si>
  <si>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</si>
  <si>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</si>
  <si>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</si>
  <si>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</si>
  <si>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</si>
  <si>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</si>
  <si>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</si>
  <si>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</si>
  <si>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</si>
  <si>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</si>
  <si>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</si>
  <si>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</si>
  <si>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</si>
  <si>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</si>
  <si>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</si>
  <si>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</si>
  <si>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</si>
  <si>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</si>
  <si>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</si>
  <si>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</si>
  <si>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</si>
  <si>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</si>
  <si>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</si>
  <si>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</si>
  <si>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</si>
  <si>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</si>
  <si>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</si>
  <si>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</si>
  <si>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</si>
  <si>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</si>
  <si>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</si>
  <si>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</si>
  <si>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</si>
  <si>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</si>
  <si>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</si>
  <si>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</si>
  <si>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</si>
  <si>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</si>
  <si>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</si>
  <si>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</si>
  <si>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</si>
  <si>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</si>
  <si>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</si>
  <si>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</si>
  <si>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</si>
  <si>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</si>
  <si>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</si>
  <si>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</si>
  <si>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</si>
  <si>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</si>
  <si>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</si>
  <si>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</si>
  <si>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</si>
  <si>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</si>
  <si>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</si>
  <si>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</si>
  <si>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</si>
  <si>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</si>
  <si>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</si>
  <si>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</si>
  <si>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</si>
  <si>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</si>
  <si>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</si>
  <si>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</si>
  <si>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</si>
  <si>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</si>
  <si>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</si>
  <si>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</si>
  <si>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</si>
  <si>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</si>
  <si>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</si>
  <si>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</si>
  <si>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</si>
  <si>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</si>
  <si>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</si>
  <si>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</si>
  <si>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</si>
  <si>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</si>
  <si>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</si>
  <si>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</si>
  <si>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</si>
  <si>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</si>
  <si>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</si>
  <si>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</si>
  <si>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</si>
  <si>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</si>
  <si>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</si>
  <si>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</si>
  <si>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</si>
  <si>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</si>
  <si>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</si>
  <si>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</si>
  <si>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</si>
  <si>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</si>
  <si>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</si>
  <si>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</si>
  <si>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</si>
  <si>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</si>
  <si>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</si>
  <si>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</si>
  <si>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</si>
  <si>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</si>
  <si>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</si>
  <si>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</si>
  <si>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</si>
  <si>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</si>
  <si>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</si>
  <si>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</si>
  <si>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</si>
  <si>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</si>
  <si>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</si>
  <si>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</si>
  <si>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</si>
  <si>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</si>
  <si>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</si>
  <si>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</si>
  <si>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</si>
  <si>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</si>
  <si>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</si>
  <si>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</si>
  <si>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</si>
  <si>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</si>
  <si>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</si>
  <si>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</si>
  <si>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</si>
  <si>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</si>
  <si>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</si>
  <si>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</si>
  <si>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</si>
  <si>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</si>
  <si>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</si>
  <si>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</si>
  <si>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</si>
  <si>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</si>
  <si>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</si>
  <si>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</si>
  <si>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</si>
  <si>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</si>
  <si>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</si>
  <si>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</si>
  <si>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</si>
  <si>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</si>
  <si>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</si>
  <si>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</si>
  <si>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</si>
  <si>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</si>
  <si>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</si>
  <si>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</si>
  <si>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</si>
  <si>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</si>
  <si>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</si>
  <si>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</si>
  <si>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</si>
  <si>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</si>
  <si>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</si>
  <si>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</si>
  <si>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</si>
  <si>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</si>
  <si>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</si>
  <si>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</si>
  <si>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</si>
  <si>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</si>
  <si>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</si>
  <si>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</si>
  <si>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</si>
  <si>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</si>
  <si>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</si>
  <si>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</si>
  <si>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</si>
  <si>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</si>
  <si>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</si>
  <si>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</si>
  <si>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</si>
  <si>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</si>
  <si>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</si>
  <si>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</si>
  <si>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</si>
  <si>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</si>
  <si>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</si>
  <si>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</si>
  <si>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</si>
  <si>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</si>
  <si>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</si>
  <si>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</si>
  <si>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</si>
  <si>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</si>
  <si>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</si>
  <si>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</si>
  <si>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</si>
  <si>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</si>
  <si>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</si>
  <si>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</si>
  <si>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</si>
  <si>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</si>
  <si>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</si>
  <si>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</si>
  <si>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</si>
  <si>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</si>
  <si>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</si>
  <si>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</si>
  <si>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</si>
  <si>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</si>
  <si>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</si>
  <si>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</si>
  <si>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</si>
  <si>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</si>
  <si>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</si>
  <si>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</si>
  <si>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</si>
  <si>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</si>
  <si>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</si>
  <si>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</si>
  <si>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</si>
  <si>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</si>
  <si>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</si>
  <si>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</si>
  <si>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</si>
  <si>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</si>
  <si>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</si>
  <si>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</si>
  <si>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</si>
  <si>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</si>
  <si>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</si>
  <si>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</si>
  <si>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</si>
  <si>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</si>
  <si>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</si>
  <si>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</si>
  <si>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</si>
  <si>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</si>
  <si>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</si>
  <si>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</si>
  <si>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</si>
  <si>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</si>
  <si>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</si>
  <si>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</si>
  <si>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</si>
  <si>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</si>
  <si>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</si>
  <si>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</si>
  <si>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</si>
  <si>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</si>
  <si>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</si>
  <si>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</si>
  <si>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</si>
  <si>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</si>
  <si>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</si>
  <si>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</si>
  <si>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</si>
  <si>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</si>
  <si>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</si>
  <si>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</si>
  <si>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</si>
  <si>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</si>
  <si>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</si>
  <si>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</si>
  <si>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</si>
  <si>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</si>
  <si>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</si>
  <si>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</si>
  <si>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</si>
  <si>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</si>
  <si>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</si>
  <si>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</si>
  <si>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</si>
  <si>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</si>
  <si>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</si>
  <si>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</si>
  <si>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</si>
  <si>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</si>
  <si>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</si>
  <si>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</si>
  <si>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</si>
  <si>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</si>
  <si>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</si>
  <si>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</si>
  <si>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</si>
  <si>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</si>
  <si>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</si>
  <si>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</si>
  <si>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</si>
  <si>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</si>
  <si>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</si>
  <si>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</si>
  <si>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</si>
  <si>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</si>
  <si>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</si>
  <si>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</si>
  <si>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</si>
  <si>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</si>
  <si>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</si>
  <si>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</si>
  <si>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</si>
  <si>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</si>
  <si>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</si>
  <si>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</si>
  <si>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</si>
  <si>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</si>
  <si>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</si>
  <si>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</si>
  <si>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</si>
  <si>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</si>
  <si>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</si>
  <si>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</si>
  <si>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</si>
  <si>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</si>
  <si>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</si>
  <si>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</si>
  <si>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</si>
  <si>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</si>
  <si>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</si>
  <si>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</si>
  <si>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</si>
  <si>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</si>
  <si>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</si>
  <si>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</si>
  <si>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</si>
  <si>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</si>
  <si>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</si>
  <si>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</si>
  <si>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</si>
  <si>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</si>
  <si>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</si>
  <si>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</si>
  <si>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</si>
  <si>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</si>
  <si>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</si>
  <si>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</si>
  <si>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</si>
  <si>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</si>
  <si>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</si>
  <si>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</si>
  <si>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</si>
  <si>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</si>
  <si>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</si>
  <si>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</si>
  <si>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</si>
  <si>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</si>
  <si>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</si>
  <si>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</si>
  <si>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</si>
  <si>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</si>
  <si>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</si>
  <si>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</si>
  <si>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</si>
  <si>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</si>
  <si>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</si>
  <si>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</si>
  <si>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</si>
  <si>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</si>
  <si>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</si>
  <si>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</si>
  <si>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</si>
  <si>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</si>
  <si>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</si>
  <si>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</si>
  <si>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</si>
  <si>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</si>
  <si>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</si>
  <si>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</si>
  <si>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</si>
  <si>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</si>
  <si>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</si>
  <si>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</si>
  <si>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</si>
  <si>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</si>
  <si>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</si>
  <si>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</si>
  <si>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</si>
  <si>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</si>
  <si>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</si>
  <si>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</si>
  <si>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</si>
  <si>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</si>
  <si>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</si>
  <si>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</si>
  <si>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</si>
  <si>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</si>
  <si>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</si>
  <si>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</si>
  <si>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</si>
  <si>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</si>
  <si>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</si>
  <si>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</si>
  <si>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</si>
  <si>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</si>
  <si>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</si>
  <si>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</si>
  <si>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</si>
  <si>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</si>
  <si>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</si>
  <si>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</si>
  <si>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</si>
  <si>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</si>
  <si>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</si>
  <si>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</si>
  <si>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</si>
  <si>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</si>
  <si>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</si>
  <si>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</si>
  <si>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</si>
  <si>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</si>
  <si>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</si>
  <si>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</si>
  <si>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</si>
  <si>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</si>
  <si>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</si>
  <si>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</si>
  <si>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</si>
  <si>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</si>
  <si>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</si>
  <si>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</si>
  <si>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</si>
  <si>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</si>
  <si>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</si>
  <si>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</si>
  <si>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</si>
  <si>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</si>
  <si>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</si>
  <si>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</si>
  <si>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</si>
  <si>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</si>
  <si>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</si>
  <si>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</si>
  <si>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</si>
  <si>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</si>
  <si>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</si>
  <si>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</si>
  <si>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</si>
  <si>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</si>
  <si>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</si>
  <si>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</si>
  <si>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</si>
  <si>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</si>
  <si>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</si>
  <si>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</si>
  <si>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</si>
  <si>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</si>
  <si>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</si>
  <si>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</si>
  <si>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</si>
  <si>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</si>
  <si>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</si>
  <si>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</si>
  <si>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</si>
  <si>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</si>
  <si>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</si>
  <si>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</si>
  <si>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</si>
  <si>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</si>
  <si>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</si>
  <si>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</si>
  <si>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</si>
  <si>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</si>
  <si>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</si>
  <si>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</si>
  <si>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</si>
  <si>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</si>
  <si>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</si>
  <si>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</si>
  <si>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</si>
  <si>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</si>
  <si>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</si>
  <si>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</si>
  <si>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</si>
  <si>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</si>
  <si>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</si>
  <si>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</si>
  <si>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</si>
  <si>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</si>
  <si>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</si>
  <si>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</si>
  <si>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</si>
  <si>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</si>
  <si>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</si>
  <si>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</si>
  <si>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</si>
  <si>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</si>
  <si>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</si>
  <si>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</si>
  <si>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</si>
  <si>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</si>
  <si>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</si>
  <si>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</si>
  <si>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</si>
  <si>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</si>
  <si>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</si>
  <si>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</si>
  <si>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</si>
  <si>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</si>
  <si>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</si>
  <si>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</si>
  <si>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</si>
  <si>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</si>
  <si>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</si>
  <si>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</si>
  <si>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</si>
  <si>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</si>
  <si>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</si>
  <si>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</si>
  <si>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</si>
  <si>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</si>
  <si>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</si>
  <si>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</si>
  <si>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</si>
  <si>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</si>
  <si>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</si>
  <si>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</si>
  <si>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</si>
  <si>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</si>
  <si>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</si>
  <si>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</si>
  <si>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</si>
  <si>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</si>
  <si>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</si>
  <si>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</si>
  <si>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</si>
  <si>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</si>
  <si>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</si>
  <si>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</si>
  <si>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</si>
  <si>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</si>
  <si>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</si>
  <si>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</si>
  <si>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</si>
  <si>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</si>
  <si>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</si>
  <si>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</si>
  <si>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</si>
  <si>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</si>
  <si>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</si>
  <si>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</si>
  <si>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</si>
  <si>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</si>
  <si>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</si>
  <si>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</si>
  <si>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</si>
  <si>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</si>
  <si>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</si>
  <si>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</si>
  <si>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</si>
  <si>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</si>
  <si>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</si>
  <si>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</si>
  <si>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</si>
  <si>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</si>
  <si>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</si>
  <si>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</si>
  <si>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</si>
  <si>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</si>
  <si>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</si>
  <si>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</si>
  <si>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</si>
  <si>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</si>
  <si>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</si>
  <si>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</si>
  <si>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</si>
  <si>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</si>
  <si>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</si>
  <si>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</si>
  <si>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</si>
  <si>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</si>
  <si>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</si>
  <si>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</si>
  <si>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</si>
  <si>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</si>
  <si>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</si>
  <si>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</si>
  <si>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</si>
  <si>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</si>
  <si>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</si>
  <si>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</si>
  <si>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</si>
  <si>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</si>
  <si>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</si>
  <si>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</si>
  <si>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</si>
  <si>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</si>
  <si>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</si>
  <si>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</si>
  <si>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</si>
  <si>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</si>
  <si>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</si>
  <si>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</si>
  <si>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</si>
  <si>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</si>
  <si>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</si>
  <si>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</si>
  <si>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</si>
  <si>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</si>
  <si>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</si>
  <si>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</si>
  <si>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</si>
  <si>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</si>
  <si>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</si>
  <si>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</si>
  <si>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</si>
  <si>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</si>
  <si>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</si>
  <si>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</si>
  <si>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</si>
  <si>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</si>
  <si>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</si>
  <si>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</si>
  <si>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</si>
  <si>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</si>
  <si>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</si>
  <si>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</si>
  <si>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</si>
  <si>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</si>
  <si>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</si>
  <si>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</si>
  <si>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</si>
  <si>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</si>
  <si>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</si>
  <si>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</si>
  <si>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</si>
  <si>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</si>
  <si>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</si>
  <si>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</si>
  <si>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</si>
  <si>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</si>
  <si>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</si>
  <si>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</si>
  <si>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</si>
  <si>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</si>
  <si>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</si>
  <si>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</si>
  <si>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</si>
  <si>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</si>
  <si>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</si>
  <si>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</si>
  <si>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</si>
  <si>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</si>
  <si>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</si>
  <si>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</si>
  <si>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</si>
  <si>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</si>
  <si>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</si>
  <si>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</si>
  <si>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</si>
  <si>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</si>
  <si>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</si>
  <si>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</si>
  <si>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</si>
  <si>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</si>
  <si>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</si>
  <si>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</si>
  <si>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</si>
  <si>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</si>
  <si>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</si>
  <si>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</si>
  <si>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</si>
  <si>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</si>
  <si>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</si>
  <si>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</si>
  <si>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</si>
  <si>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</si>
  <si>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</si>
  <si>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</si>
  <si>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</si>
  <si>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</si>
  <si>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</si>
  <si>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</si>
  <si>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</si>
  <si>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</si>
  <si>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</si>
  <si>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</si>
  <si>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</si>
  <si>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</si>
  <si>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</si>
  <si>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</si>
  <si>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</si>
  <si>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</si>
  <si>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</si>
  <si>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</si>
  <si>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</si>
  <si>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</si>
  <si>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</si>
  <si>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</si>
  <si>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</si>
  <si>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</si>
  <si>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</si>
  <si>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</si>
  <si>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</si>
  <si>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</si>
  <si>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</si>
  <si>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</si>
  <si>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</si>
  <si>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</si>
  <si>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</si>
  <si>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</si>
  <si>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</si>
  <si>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</si>
  <si>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</si>
  <si>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</si>
  <si>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</si>
  <si>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</si>
  <si>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</si>
  <si>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</si>
  <si>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</si>
  <si>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</si>
  <si>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</si>
  <si>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</si>
  <si>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</si>
  <si>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</si>
  <si>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</si>
  <si>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</si>
  <si>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</si>
  <si>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</si>
  <si>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</si>
  <si>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</si>
  <si>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</si>
  <si>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</si>
  <si>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</si>
  <si>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</si>
  <si>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</si>
  <si>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</si>
  <si>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</si>
  <si>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</si>
  <si>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</si>
  <si>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</si>
  <si>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</si>
  <si>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</si>
  <si>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</si>
  <si>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</si>
  <si>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</si>
  <si>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</si>
  <si>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</si>
  <si>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</si>
  <si>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</si>
  <si>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</si>
  <si>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</si>
  <si>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</si>
  <si>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</si>
  <si>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</si>
  <si>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</si>
  <si>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</si>
  <si>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</si>
  <si>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</si>
  <si>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</si>
  <si>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</si>
  <si>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</si>
  <si>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</si>
  <si>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</si>
  <si>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</si>
  <si>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</si>
  <si>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</si>
  <si>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</si>
  <si>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</si>
  <si>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</si>
  <si>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</si>
  <si>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</si>
  <si>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</si>
  <si>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</si>
  <si>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</si>
  <si>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</si>
  <si>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</si>
  <si>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</si>
  <si>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</si>
  <si>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</si>
  <si>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</si>
  <si>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</si>
  <si>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</si>
  <si>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</si>
  <si>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</si>
  <si>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</si>
  <si>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</si>
  <si>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</si>
  <si>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</si>
  <si>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</si>
  <si>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</si>
  <si>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</si>
  <si>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</si>
  <si>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</si>
  <si>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</si>
  <si>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</si>
  <si>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</si>
  <si>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</si>
  <si>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</si>
  <si>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</si>
  <si>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</si>
  <si>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</si>
  <si>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</si>
  <si>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</si>
  <si>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</si>
  <si>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</si>
  <si>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</si>
  <si>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</si>
  <si>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</si>
  <si>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</si>
  <si>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</si>
  <si>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</si>
  <si>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</si>
  <si>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</si>
  <si>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</si>
  <si>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</si>
  <si>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</si>
  <si>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</si>
  <si>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</si>
  <si>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</si>
  <si>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</si>
  <si>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</si>
  <si>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</si>
  <si>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</si>
  <si>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</si>
  <si>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</si>
  <si>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</si>
  <si>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</si>
  <si>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</si>
  <si>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</si>
  <si>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</si>
  <si>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</si>
  <si>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</si>
  <si>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</si>
  <si>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</si>
  <si>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</si>
  <si>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</si>
  <si>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</si>
  <si>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</si>
  <si>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</si>
  <si>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</si>
  <si>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</si>
  <si>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</si>
  <si>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</si>
  <si>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</si>
  <si>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</si>
  <si>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</si>
  <si>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</si>
  <si>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</si>
  <si>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</si>
  <si>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</si>
  <si>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</si>
  <si>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</si>
  <si>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</si>
  <si>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</si>
  <si>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</si>
  <si>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</si>
  <si>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</si>
  <si>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</si>
  <si>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</si>
  <si>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</si>
  <si>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</si>
  <si>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</si>
  <si>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</si>
  <si>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</si>
  <si>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</si>
  <si>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</si>
  <si>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</si>
  <si>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</si>
  <si>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</si>
  <si>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</si>
  <si>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</si>
  <si>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</si>
  <si>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</si>
  <si>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</si>
  <si>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</si>
  <si>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</si>
  <si>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</si>
  <si>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</si>
  <si>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</si>
  <si>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</si>
  <si>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</si>
  <si>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</si>
  <si>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</si>
  <si>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</si>
  <si>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</si>
  <si>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</si>
  <si>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</si>
  <si>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</si>
  <si>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</si>
  <si>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</si>
  <si>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</si>
  <si>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</si>
  <si>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</si>
  <si>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</si>
  <si>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</si>
  <si>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</si>
  <si>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</si>
  <si>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</si>
  <si>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</si>
  <si>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</si>
  <si>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</si>
  <si>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</si>
  <si>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</si>
  <si>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</si>
  <si>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</si>
  <si>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</si>
  <si>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</si>
  <si>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</si>
  <si>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</si>
  <si>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</si>
  <si>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</si>
  <si>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</si>
  <si>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</si>
  <si>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</si>
  <si>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</si>
  <si>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</si>
  <si>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</si>
  <si>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</si>
  <si>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</si>
  <si>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</si>
  <si>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</si>
  <si>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</si>
  <si>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</si>
  <si>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</si>
  <si>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</si>
  <si>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</si>
  <si>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</si>
  <si>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</si>
  <si>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</si>
  <si>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</si>
  <si>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</si>
  <si>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</si>
  <si>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</si>
  <si>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</si>
  <si>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</si>
  <si>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</si>
  <si>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</si>
  <si>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</si>
  <si>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</si>
  <si>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</si>
  <si>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</si>
  <si>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</si>
  <si>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</si>
  <si>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</si>
  <si>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</si>
  <si>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</si>
  <si>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</si>
  <si>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</si>
  <si>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</si>
  <si>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</si>
  <si>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</si>
  <si>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</si>
  <si>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</si>
  <si>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</si>
  <si>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</si>
  <si>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</si>
  <si>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</si>
  <si>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</si>
  <si>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</si>
  <si>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</si>
  <si>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</si>
  <si>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</si>
  <si>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</si>
  <si>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</si>
  <si>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</si>
  <si>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</si>
  <si>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</si>
  <si>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</si>
  <si>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</si>
  <si>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</si>
  <si>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</si>
  <si>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</si>
  <si>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</si>
  <si>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</si>
  <si>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</si>
  <si>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</si>
  <si>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</si>
  <si>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</si>
  <si>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</si>
  <si>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</si>
  <si>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</si>
  <si>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</si>
  <si>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</si>
  <si>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</si>
  <si>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</si>
  <si>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</si>
  <si>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</si>
  <si>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</si>
  <si>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</si>
  <si>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</si>
  <si>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</si>
  <si>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</si>
  <si>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</si>
  <si>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</si>
  <si>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</si>
  <si>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</si>
  <si>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</si>
  <si>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</si>
  <si>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</si>
  <si>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</si>
  <si>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</si>
  <si>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</si>
  <si>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</si>
  <si>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</si>
  <si>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</si>
  <si>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</si>
  <si>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</si>
  <si>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</si>
  <si>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</si>
  <si>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</si>
  <si>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</si>
  <si>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</si>
  <si>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</si>
  <si>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</si>
  <si>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</si>
  <si>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</si>
  <si>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</si>
  <si>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</si>
  <si>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</si>
  <si>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</si>
  <si>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</si>
  <si>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</si>
  <si>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</si>
  <si>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</si>
  <si>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</si>
  <si>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</si>
  <si>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</si>
  <si>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</si>
  <si>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</si>
  <si>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</si>
  <si>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</si>
  <si>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</si>
  <si>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</si>
  <si>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</si>
  <si>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</si>
  <si>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</si>
  <si>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</si>
  <si>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</si>
  <si>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</si>
  <si>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</si>
  <si>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</si>
  <si>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</si>
  <si>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</si>
  <si>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</si>
  <si>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</si>
  <si>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</si>
  <si>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</si>
  <si>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</si>
  <si>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</si>
  <si>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</si>
  <si>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</si>
  <si>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</si>
  <si>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</si>
  <si>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</si>
  <si>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</si>
  <si>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</si>
  <si>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</si>
  <si>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</si>
  <si>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</si>
  <si>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</si>
  <si>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</si>
  <si>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</si>
  <si>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</si>
  <si>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</si>
  <si>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</si>
  <si>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</si>
  <si>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</si>
  <si>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</si>
  <si>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</si>
  <si>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</si>
  <si>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</si>
  <si>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</si>
  <si>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</si>
  <si>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</si>
  <si>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</si>
  <si>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</si>
  <si>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</si>
  <si>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</si>
  <si>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</si>
  <si>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</si>
  <si>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</si>
  <si>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</si>
  <si>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</si>
  <si>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</si>
  <si>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</si>
  <si>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</si>
  <si>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</si>
  <si>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</si>
  <si>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</si>
  <si>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</si>
  <si>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</si>
  <si>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</si>
  <si>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</si>
  <si>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</si>
  <si>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</si>
  <si>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</si>
  <si>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</si>
  <si>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</si>
  <si>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</si>
  <si>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</si>
  <si>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</si>
  <si>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</si>
  <si>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</si>
  <si>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</si>
  <si>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</si>
  <si>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</si>
  <si>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</si>
  <si>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</si>
  <si>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</si>
  <si>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</si>
  <si>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</si>
  <si>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</si>
  <si>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</si>
  <si>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</si>
  <si>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</si>
  <si>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</si>
  <si>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</si>
  <si>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</si>
  <si>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</si>
  <si>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</si>
  <si>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</si>
  <si>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</si>
  <si>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</si>
  <si>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</si>
  <si>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</si>
  <si>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</si>
  <si>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</si>
  <si>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</si>
  <si>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</si>
  <si>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</si>
  <si>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</si>
  <si>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</si>
  <si>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</si>
  <si>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</si>
  <si>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</si>
  <si>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</si>
  <si>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</si>
  <si>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</si>
  <si>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</si>
  <si>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</si>
  <si>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</si>
  <si>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</si>
  <si>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</si>
  <si>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</si>
  <si>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</si>
  <si>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</si>
  <si>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</si>
  <si>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</si>
  <si>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</si>
  <si>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</si>
  <si>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</si>
  <si>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</si>
  <si>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</si>
  <si>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</si>
  <si>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</si>
  <si>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</si>
  <si>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</si>
  <si>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</si>
  <si>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</si>
  <si>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</si>
  <si>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</si>
  <si>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</si>
  <si>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</si>
  <si>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</si>
  <si>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</si>
  <si>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</si>
  <si>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</si>
  <si>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</si>
  <si>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</si>
  <si>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</si>
  <si>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</si>
  <si>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</si>
  <si>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</si>
  <si>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</si>
  <si>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</si>
  <si>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</si>
  <si>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</si>
  <si>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</si>
  <si>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</si>
  <si>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</si>
  <si>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</si>
  <si>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</si>
  <si>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</si>
  <si>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</si>
  <si>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</si>
  <si>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</si>
  <si>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</si>
  <si>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</si>
  <si>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</si>
  <si>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</si>
  <si>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</si>
  <si>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</si>
  <si>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</si>
  <si>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</si>
  <si>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</si>
  <si>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</si>
  <si>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</si>
  <si>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</si>
  <si>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</si>
  <si>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</si>
  <si>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</si>
  <si>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</si>
  <si>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</si>
  <si>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</si>
  <si>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</si>
  <si>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</si>
  <si>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</si>
  <si>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</si>
  <si>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</si>
  <si>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</si>
  <si>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</si>
  <si>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</si>
  <si>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</si>
  <si>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</si>
  <si>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</si>
  <si>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</si>
  <si>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</si>
  <si>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</si>
  <si>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</si>
  <si>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</si>
  <si>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</si>
  <si>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</si>
  <si>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</si>
  <si>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</si>
  <si>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</si>
  <si>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</si>
  <si>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</si>
  <si>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</si>
  <si>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</si>
  <si>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</si>
  <si>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</si>
  <si>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</si>
  <si>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</si>
  <si>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</si>
  <si>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</si>
  <si>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</si>
  <si>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</si>
  <si>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</si>
  <si>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</si>
  <si>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</si>
  <si>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</si>
  <si>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</si>
  <si>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</si>
  <si>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</si>
  <si>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</si>
  <si>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</si>
  <si>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</si>
  <si>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</si>
  <si>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</si>
  <si>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</si>
  <si>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</si>
  <si>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</si>
  <si>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</si>
  <si>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</si>
  <si>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</si>
  <si>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</si>
  <si>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</si>
  <si>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</si>
  <si>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</si>
  <si>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</si>
  <si>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</si>
  <si>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</si>
  <si>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</si>
  <si>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</si>
  <si>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</si>
  <si>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</si>
  <si>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</si>
  <si>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</si>
  <si>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</si>
  <si>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</si>
  <si>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</si>
  <si>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</si>
  <si>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</si>
  <si>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</si>
  <si>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</si>
  <si>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</si>
  <si>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</si>
  <si>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</si>
  <si>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</si>
  <si>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</si>
  <si>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</si>
  <si>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</si>
  <si>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</si>
  <si>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</si>
  <si>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</si>
  <si>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</si>
  <si>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</si>
  <si>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</si>
  <si>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</si>
  <si>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</si>
  <si>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</si>
  <si>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</si>
  <si>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</si>
  <si>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</si>
  <si>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</si>
  <si>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</si>
  <si>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</si>
  <si>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</si>
  <si>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</si>
  <si>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</si>
  <si>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</si>
  <si>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</si>
  <si>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</si>
  <si>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</si>
  <si>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</si>
  <si>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</si>
  <si>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</si>
  <si>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</si>
  <si>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</si>
  <si>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</si>
  <si>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</si>
  <si>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</si>
  <si>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</si>
  <si>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</si>
  <si>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</si>
  <si>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</si>
  <si>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</si>
  <si>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</si>
  <si>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</si>
  <si>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</si>
  <si>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</si>
  <si>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</si>
  <si>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</si>
  <si>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</si>
  <si>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</si>
  <si>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</si>
  <si>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</si>
  <si>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</si>
  <si>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</si>
  <si>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</si>
  <si>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</si>
  <si>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</si>
  <si>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</si>
  <si>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</si>
  <si>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</si>
  <si>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</si>
  <si>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</si>
  <si>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</si>
  <si>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</si>
  <si>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</si>
  <si>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</si>
  <si>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</si>
  <si>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</si>
  <si>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</si>
  <si>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</si>
  <si>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</si>
  <si>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</si>
  <si>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</si>
  <si>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</si>
  <si>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</si>
  <si>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</si>
  <si>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</si>
  <si>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</si>
  <si>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</si>
  <si>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</si>
  <si>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</si>
  <si>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</si>
  <si>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</si>
  <si>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</si>
  <si>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</si>
  <si>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</si>
  <si>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</si>
  <si>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</si>
  <si>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</si>
  <si>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</si>
  <si>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</si>
  <si>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</si>
  <si>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</si>
  <si>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</si>
  <si>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</si>
  <si>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</si>
  <si>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</si>
  <si>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</si>
  <si>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</si>
  <si>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</si>
  <si>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</si>
  <si>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</si>
  <si>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</si>
  <si>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</si>
  <si>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</si>
  <si>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</si>
  <si>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</si>
  <si>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</si>
  <si>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</si>
  <si>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</si>
  <si>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</si>
  <si>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</si>
  <si>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</si>
  <si>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</si>
  <si>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</si>
  <si>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</si>
  <si>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</si>
  <si>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</si>
  <si>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</si>
  <si>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</si>
  <si>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</si>
  <si>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</si>
  <si>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</si>
  <si>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</si>
  <si>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</si>
  <si>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</si>
  <si>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</si>
  <si>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</si>
  <si>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</si>
  <si>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</si>
  <si>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</si>
  <si>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</si>
  <si>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</si>
  <si>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</si>
  <si>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</si>
  <si>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</si>
  <si>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</si>
  <si>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</si>
  <si>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</si>
  <si>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</si>
  <si>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</si>
  <si>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</si>
  <si>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</si>
  <si>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</si>
  <si>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</si>
  <si>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</si>
  <si>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</si>
  <si>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</si>
  <si>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</si>
  <si>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</si>
  <si>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</si>
  <si>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</si>
  <si>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</si>
  <si>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</si>
  <si>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</si>
  <si>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</si>
  <si>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</si>
  <si>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</si>
  <si>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</si>
  <si>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</si>
  <si>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</si>
  <si>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</si>
  <si>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</si>
  <si>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</si>
  <si>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</si>
  <si>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</si>
  <si>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</si>
  <si>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</si>
  <si>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</si>
  <si>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</si>
  <si>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</si>
  <si>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</si>
  <si>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</si>
  <si>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</si>
  <si>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</si>
  <si>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</si>
  <si>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</si>
  <si>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</si>
  <si>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</si>
  <si>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</si>
  <si>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</si>
  <si>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</si>
  <si>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</si>
  <si>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</si>
  <si>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</si>
  <si>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</si>
  <si>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</si>
  <si>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</si>
  <si>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</si>
  <si>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</si>
  <si>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</si>
  <si>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</si>
  <si>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</si>
  <si>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</si>
  <si>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</si>
  <si>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</si>
  <si>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</si>
  <si>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</si>
  <si>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</si>
  <si>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</si>
  <si>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</si>
  <si>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</si>
  <si>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</si>
  <si>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</si>
  <si>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</si>
  <si>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</si>
  <si>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</si>
  <si>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</si>
  <si>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</si>
  <si>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</si>
  <si>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</si>
  <si>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</si>
  <si>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</si>
  <si>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</si>
  <si>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</si>
  <si>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</si>
  <si>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</si>
  <si>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</si>
  <si>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</si>
  <si>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</si>
  <si>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</si>
  <si>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</si>
  <si>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</si>
  <si>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</si>
  <si>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</si>
  <si>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</si>
  <si>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</si>
  <si>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</si>
  <si>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</si>
  <si>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</si>
  <si>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</si>
  <si>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</si>
  <si>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</si>
  <si>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</si>
  <si>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</si>
  <si>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</si>
  <si>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</si>
  <si>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</si>
  <si>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</si>
  <si>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</si>
  <si>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</si>
  <si>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</si>
  <si>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</si>
  <si>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</si>
  <si>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</si>
  <si>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</si>
  <si>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</si>
  <si>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</si>
  <si>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</si>
  <si>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</si>
  <si>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</si>
  <si>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</si>
  <si>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</si>
  <si>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</si>
  <si>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</si>
  <si>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</si>
  <si>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</si>
  <si>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</si>
  <si>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</si>
  <si>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</si>
  <si>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</si>
  <si>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</si>
  <si>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</si>
  <si>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</si>
  <si>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</si>
  <si>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</si>
  <si>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</si>
  <si>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</si>
  <si>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</si>
  <si>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</si>
  <si>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</si>
  <si>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</si>
  <si>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</si>
  <si>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</si>
  <si>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</si>
  <si>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</si>
  <si>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</si>
  <si>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</si>
  <si>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</si>
  <si>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</si>
  <si>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</si>
  <si>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</si>
  <si>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</si>
  <si>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</si>
  <si>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</si>
  <si>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</si>
  <si>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</si>
  <si>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</si>
  <si>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</si>
  <si>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</si>
  <si>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</si>
  <si>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</si>
  <si>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</si>
  <si>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</si>
  <si>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</si>
  <si>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</si>
  <si>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</si>
  <si>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</si>
  <si>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</si>
  <si>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</si>
  <si>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</si>
  <si>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</si>
  <si>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</si>
  <si>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</si>
  <si>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</si>
  <si>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</si>
  <si>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</si>
  <si>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</si>
  <si>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</si>
  <si>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</si>
  <si>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</si>
  <si>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</si>
  <si>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</si>
  <si>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</si>
  <si>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</si>
  <si>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</si>
  <si>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</si>
  <si>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</si>
  <si>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</si>
  <si>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</si>
  <si>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</si>
  <si>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</si>
  <si>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</si>
  <si>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</si>
  <si>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</si>
  <si>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</si>
  <si>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</si>
  <si>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</si>
  <si>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</si>
  <si>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</si>
  <si>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</si>
  <si>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</si>
  <si>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</si>
  <si>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</si>
  <si>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</si>
  <si>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</si>
  <si>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</si>
  <si>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</si>
  <si>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</si>
  <si>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</si>
  <si>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</si>
  <si>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</si>
  <si>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</si>
  <si>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</si>
  <si>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</si>
  <si>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</si>
  <si>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</si>
  <si>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</si>
  <si>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</si>
  <si>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</si>
  <si>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</si>
  <si>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</si>
  <si>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</si>
  <si>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</si>
  <si>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</si>
  <si>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</si>
  <si>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</si>
  <si>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</si>
  <si>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</si>
  <si>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</si>
  <si>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</si>
  <si>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</si>
  <si>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</si>
  <si>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</si>
  <si>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</si>
  <si>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</si>
  <si>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</si>
  <si>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</si>
  <si>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</si>
  <si>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</si>
  <si>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</si>
  <si>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</si>
  <si>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</si>
  <si>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</si>
  <si>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</si>
  <si>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</si>
  <si>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</si>
  <si>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</si>
  <si>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</si>
  <si>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</si>
  <si>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</si>
  <si>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</si>
  <si>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</si>
  <si>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</si>
  <si>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</si>
  <si>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</si>
  <si>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</si>
  <si>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</si>
  <si>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</si>
  <si>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</si>
  <si>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</si>
  <si>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</si>
  <si>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</si>
  <si>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</si>
  <si>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</si>
  <si>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</si>
  <si>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</si>
  <si>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</si>
  <si>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</si>
  <si>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</si>
  <si>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</si>
  <si>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</si>
  <si>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</si>
  <si>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</si>
  <si>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</si>
  <si>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</si>
  <si>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</si>
  <si>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</si>
  <si>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</si>
  <si>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</si>
  <si>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</si>
  <si>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</si>
  <si>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</si>
  <si>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</si>
  <si>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</si>
  <si>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</si>
  <si>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</si>
  <si>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</si>
  <si>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</si>
  <si>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</si>
  <si>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</si>
  <si>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</si>
  <si>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</si>
  <si>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</si>
  <si>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</si>
  <si>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</si>
  <si>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</si>
  <si>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</si>
  <si>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</si>
  <si>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</si>
  <si>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</si>
  <si>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</si>
  <si>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</si>
  <si>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</si>
  <si>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</si>
  <si>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</si>
  <si>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</si>
  <si>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</si>
  <si>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</si>
  <si>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</si>
  <si>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</si>
  <si>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</si>
  <si>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</si>
  <si>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</si>
  <si>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</si>
  <si>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</si>
  <si>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</si>
  <si>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</si>
  <si>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</si>
  <si>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</si>
  <si>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</si>
  <si>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</si>
  <si>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</si>
  <si>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</si>
  <si>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</si>
  <si>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</si>
  <si>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</si>
  <si>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</si>
  <si>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</si>
  <si>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</si>
  <si>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</si>
  <si>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</si>
  <si>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</si>
  <si>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</si>
  <si>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</si>
  <si>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</si>
  <si>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</si>
  <si>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</si>
  <si>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</si>
  <si>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</si>
  <si>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</si>
  <si>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</si>
  <si>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</si>
  <si>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</si>
  <si>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</si>
  <si>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</si>
  <si>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</si>
  <si>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</si>
  <si>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</si>
  <si>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</si>
  <si>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</si>
  <si>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</si>
  <si>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</si>
  <si>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</si>
  <si>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</si>
  <si>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</si>
  <si>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</si>
  <si>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</si>
  <si>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</si>
  <si>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</si>
  <si>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</si>
  <si>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</si>
  <si>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</si>
  <si>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</si>
  <si>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</si>
  <si>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</si>
  <si>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</si>
  <si>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</si>
  <si>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</si>
  <si>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</si>
  <si>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</si>
  <si>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</si>
  <si>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</si>
  <si>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</si>
  <si>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</si>
  <si>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</si>
  <si>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</si>
  <si>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</si>
  <si>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</si>
  <si>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</si>
  <si>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</si>
  <si>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</si>
  <si>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</si>
  <si>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</si>
  <si>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</si>
  <si>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</si>
  <si>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</si>
  <si>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</si>
  <si>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</si>
  <si>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</si>
  <si>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</si>
  <si>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</si>
  <si>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</si>
  <si>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</si>
  <si>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</si>
  <si>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</si>
  <si>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</si>
  <si>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</si>
  <si>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</si>
  <si>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</si>
  <si>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</si>
  <si>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</si>
  <si>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</si>
  <si>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</si>
  <si>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</si>
  <si>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</si>
  <si>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</si>
  <si>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</si>
  <si>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</si>
  <si>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</si>
  <si>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</si>
  <si>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</si>
  <si>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</si>
  <si>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</si>
  <si>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</si>
  <si>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</si>
  <si>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</si>
  <si>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</si>
  <si>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</si>
  <si>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</si>
  <si>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</si>
  <si>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</si>
  <si>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</si>
  <si>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</si>
  <si>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</si>
  <si>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</si>
  <si>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</si>
  <si>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</si>
  <si>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</si>
  <si>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</si>
  <si>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</si>
  <si>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</si>
  <si>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</si>
  <si>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</si>
  <si>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</si>
  <si>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</si>
  <si>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</si>
  <si>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</si>
  <si>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</si>
  <si>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</si>
  <si>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</si>
  <si>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</si>
  <si>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</si>
  <si>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</si>
  <si>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</si>
  <si>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</si>
  <si>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</si>
  <si>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</si>
  <si>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</si>
  <si>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</si>
  <si>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</si>
  <si>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</si>
  <si>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</si>
  <si>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</si>
  <si>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</si>
  <si>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</si>
  <si>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</si>
  <si>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</si>
  <si>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</si>
  <si>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</si>
  <si>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</si>
  <si>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</si>
  <si>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</si>
  <si>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</si>
  <si>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</si>
  <si>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</si>
  <si>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</si>
  <si>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</si>
  <si>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</si>
  <si>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</si>
  <si>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</si>
  <si>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</si>
  <si>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</si>
  <si>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</si>
  <si>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</si>
  <si>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</si>
  <si>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</si>
  <si>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</si>
  <si>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</si>
  <si>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</si>
  <si>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</si>
  <si>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</si>
  <si>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</si>
  <si>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</si>
  <si>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</si>
  <si>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</si>
  <si>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</si>
  <si>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</si>
  <si>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</si>
  <si>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</si>
  <si>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</si>
  <si>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</si>
  <si>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</si>
  <si>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</si>
  <si>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</si>
  <si>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</si>
  <si>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</si>
  <si>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</si>
  <si>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</si>
  <si>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</si>
  <si>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</si>
  <si>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</si>
  <si>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</si>
  <si>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</si>
  <si>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</si>
  <si>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</si>
  <si>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</si>
  <si>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</si>
  <si>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</si>
  <si>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</si>
  <si>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</si>
  <si>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</si>
  <si>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</si>
  <si>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</si>
  <si>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</si>
  <si>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</si>
  <si>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</si>
  <si>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</si>
  <si>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</si>
  <si>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</si>
  <si>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</si>
  <si>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</si>
  <si>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</si>
  <si>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</si>
  <si>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</si>
  <si>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</si>
  <si>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</si>
  <si>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</si>
  <si>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</si>
  <si>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</si>
  <si>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</si>
  <si>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</si>
  <si>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</si>
  <si>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</si>
  <si>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</si>
  <si>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</si>
  <si>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</si>
  <si>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</si>
  <si>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</si>
  <si>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</si>
  <si>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</si>
  <si>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</si>
  <si>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</si>
  <si>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</si>
  <si>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</si>
  <si>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</si>
  <si>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</si>
  <si>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</si>
  <si>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</si>
  <si>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</si>
  <si>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</si>
  <si>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</si>
  <si>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</si>
  <si>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</si>
  <si>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</si>
  <si>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</si>
  <si>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</si>
  <si>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</si>
  <si>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</si>
  <si>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</si>
  <si>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</si>
  <si>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</si>
  <si>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</si>
  <si>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</si>
  <si>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</si>
  <si>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</si>
  <si>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</si>
  <si>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</si>
  <si>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</si>
  <si>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</si>
  <si>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</si>
  <si>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</si>
  <si>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</si>
  <si>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</si>
  <si>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</si>
  <si>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</si>
  <si>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</si>
  <si>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</si>
  <si>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</si>
  <si>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</si>
  <si>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</si>
  <si>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</si>
  <si>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</si>
  <si>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</si>
  <si>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</si>
  <si>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</si>
  <si>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</si>
  <si>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</si>
  <si>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</si>
  <si>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</si>
  <si>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</si>
  <si>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</si>
  <si>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</si>
  <si>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</si>
  <si>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</si>
  <si>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</si>
  <si>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</si>
  <si>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</si>
  <si>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</si>
  <si>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</si>
  <si>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</si>
  <si>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</si>
  <si>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</si>
  <si>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</si>
  <si>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</si>
  <si>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</si>
  <si>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</si>
  <si>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</si>
  <si>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</si>
  <si>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</si>
  <si>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</si>
  <si>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</si>
  <si>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</si>
  <si>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</si>
  <si>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</si>
  <si>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</si>
  <si>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</si>
  <si>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</si>
  <si>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</si>
  <si>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</si>
  <si>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</si>
  <si>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</si>
  <si>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</si>
  <si>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</si>
  <si>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</si>
  <si>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</si>
  <si>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</si>
  <si>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</si>
  <si>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</si>
  <si>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</si>
  <si>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</si>
  <si>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</si>
  <si>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</si>
  <si>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</si>
  <si>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</si>
  <si>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</si>
  <si>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</si>
  <si>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</si>
  <si>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</si>
  <si>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</si>
  <si>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</si>
  <si>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</si>
  <si>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</si>
  <si>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</si>
  <si>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</si>
  <si>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</si>
  <si>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</si>
  <si>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</si>
  <si>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</si>
  <si>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</si>
  <si>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</si>
  <si>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</si>
  <si>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</si>
  <si>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</si>
  <si>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</si>
  <si>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</si>
  <si>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</si>
  <si>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</si>
  <si>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</si>
  <si>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</si>
  <si>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</si>
  <si>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</si>
  <si>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</si>
  <si>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</si>
  <si>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</si>
  <si>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</si>
  <si>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</si>
  <si>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</si>
  <si>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</si>
  <si>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</si>
  <si>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</si>
  <si>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</si>
  <si>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</si>
  <si>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</si>
  <si>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</si>
  <si>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</si>
  <si>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</si>
  <si>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</si>
  <si>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</si>
  <si>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</si>
  <si>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</si>
  <si>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</si>
  <si>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</si>
  <si>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</si>
  <si>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</si>
  <si>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</si>
  <si>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</si>
  <si>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</si>
  <si>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</si>
  <si>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</si>
  <si>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</si>
  <si>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</si>
  <si>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</si>
  <si>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</si>
  <si>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</si>
  <si>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</si>
  <si>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</si>
  <si>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</si>
  <si>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</si>
  <si>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</si>
  <si>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</si>
  <si>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</si>
  <si>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</si>
  <si>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</si>
  <si>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</si>
  <si>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</si>
  <si>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</si>
  <si>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</si>
  <si>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</si>
  <si>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</si>
  <si>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</si>
  <si>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</si>
  <si>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</si>
  <si>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</si>
  <si>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</si>
  <si>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</si>
  <si>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</si>
  <si>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</si>
  <si>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</si>
  <si>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</si>
  <si>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</si>
  <si>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</si>
  <si>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</si>
  <si>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</si>
  <si>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</si>
  <si>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</si>
  <si>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</si>
  <si>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</si>
  <si>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</si>
  <si>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</si>
  <si>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</si>
  <si>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</si>
  <si>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</si>
  <si>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</si>
  <si>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</si>
  <si>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</si>
  <si>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</si>
  <si>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</si>
  <si>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</si>
  <si>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</si>
  <si>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</si>
  <si>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</si>
  <si>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</si>
  <si>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</si>
  <si>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</si>
  <si>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</si>
  <si>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</si>
  <si>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</si>
  <si>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</si>
  <si>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</si>
  <si>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</si>
  <si>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</si>
  <si>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</si>
  <si>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</si>
  <si>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</si>
  <si>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</si>
  <si>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</si>
  <si>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</si>
  <si>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</si>
  <si>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</si>
  <si>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</si>
  <si>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</si>
  <si>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</si>
  <si>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</si>
  <si>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</si>
  <si>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</si>
  <si>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</si>
  <si>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</si>
  <si>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</si>
  <si>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</si>
  <si>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</si>
  <si>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</si>
  <si>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</si>
  <si>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</si>
  <si>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</si>
  <si>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</si>
  <si>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</si>
  <si>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</si>
  <si>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</si>
  <si>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</si>
  <si>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</si>
  <si>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</si>
  <si>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</si>
  <si>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</si>
  <si>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</si>
  <si>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</si>
  <si>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</si>
  <si>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</si>
  <si>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</si>
  <si>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</si>
  <si>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</si>
  <si>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</si>
  <si>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</si>
  <si>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</si>
  <si>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</si>
  <si>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</si>
  <si>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</si>
  <si>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</si>
  <si>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</si>
  <si>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</si>
  <si>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</si>
  <si>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</si>
  <si>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</si>
  <si>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</si>
  <si>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</si>
  <si>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</si>
  <si>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</si>
  <si>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</si>
  <si>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</si>
  <si>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</si>
  <si>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</si>
  <si>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</si>
  <si>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</si>
  <si>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</si>
  <si>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</si>
  <si>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</si>
  <si>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</si>
  <si>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</si>
  <si>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</si>
  <si>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</si>
  <si>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</si>
  <si>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</si>
  <si>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</si>
  <si>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</si>
  <si>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</si>
  <si>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</si>
  <si>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</si>
  <si>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</si>
  <si>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</si>
  <si>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</si>
  <si>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</si>
  <si>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</si>
  <si>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</si>
  <si>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</si>
  <si>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</si>
  <si>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</si>
  <si>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</si>
  <si>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</si>
  <si>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</si>
  <si>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</si>
  <si>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</si>
  <si>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</si>
  <si>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</si>
  <si>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</si>
  <si>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</si>
  <si>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</si>
  <si>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</si>
  <si>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</si>
  <si>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</si>
  <si>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</si>
  <si>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</si>
  <si>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</si>
  <si>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</si>
  <si>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</si>
  <si>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</si>
  <si>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</si>
  <si>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</si>
  <si>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</si>
  <si>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</si>
  <si>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</si>
  <si>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</si>
  <si>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</si>
  <si>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</si>
  <si>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</si>
  <si>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</si>
  <si>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</si>
  <si>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</si>
  <si>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</si>
  <si>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</si>
  <si>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</si>
  <si>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</si>
  <si>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</si>
  <si>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</si>
  <si>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</si>
  <si>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</si>
  <si>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</si>
  <si>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</si>
  <si>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</si>
  <si>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</si>
  <si>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</si>
  <si>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</si>
  <si>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</si>
  <si>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</si>
  <si>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</si>
  <si>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</si>
  <si>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</si>
  <si>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</si>
  <si>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</si>
  <si>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</si>
  <si>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</si>
  <si>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</si>
  <si>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</si>
  <si>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</si>
  <si>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</si>
  <si>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</si>
  <si>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</si>
  <si>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</si>
  <si>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</si>
  <si>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</si>
  <si>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</si>
  <si>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</si>
  <si>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</si>
  <si>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</si>
  <si>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</si>
  <si>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</si>
  <si>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</si>
  <si>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</si>
  <si>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</si>
  <si>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</si>
  <si>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</si>
  <si>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</si>
  <si>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</si>
  <si>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</si>
  <si>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</si>
  <si>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</si>
  <si>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</si>
  <si>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</si>
  <si>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</si>
  <si>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</si>
  <si>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</si>
  <si>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</si>
  <si>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</si>
  <si>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</si>
  <si>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</si>
  <si>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</si>
  <si>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</si>
  <si>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</si>
  <si>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</si>
  <si>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</si>
  <si>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</si>
  <si>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</si>
  <si>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</si>
  <si>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</si>
  <si>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</si>
  <si>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</si>
  <si>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</si>
  <si>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</si>
  <si>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</si>
  <si>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</si>
  <si>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</si>
  <si>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</si>
  <si>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</si>
  <si>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</si>
  <si>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</si>
  <si>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</si>
  <si>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</si>
  <si>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</si>
  <si>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</si>
  <si>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</si>
  <si>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</si>
  <si>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</si>
  <si>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</si>
  <si>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</si>
  <si>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</si>
  <si>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</si>
  <si>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</si>
  <si>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</si>
  <si>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</si>
  <si>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</si>
  <si>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</si>
  <si>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</si>
  <si>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</si>
  <si>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</si>
  <si>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</si>
  <si>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</si>
  <si>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</si>
  <si>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</si>
  <si>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</si>
  <si>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</si>
  <si>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</si>
  <si>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</si>
  <si>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</si>
  <si>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</si>
  <si>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</si>
  <si>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</si>
  <si>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</si>
  <si>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</si>
  <si>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</si>
  <si>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</si>
  <si>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</si>
  <si>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</si>
  <si>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</si>
  <si>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</si>
  <si>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</si>
  <si>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</si>
  <si>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</si>
  <si>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</si>
  <si>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</si>
  <si>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</si>
  <si>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</si>
  <si>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</si>
  <si>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</si>
  <si>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</si>
  <si>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</si>
  <si>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</si>
  <si>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</si>
  <si>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</si>
  <si>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</si>
  <si>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</si>
  <si>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</si>
  <si>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</si>
  <si>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</si>
  <si>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</si>
  <si>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</si>
  <si>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</si>
  <si>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</si>
  <si>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</si>
  <si>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</si>
  <si>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</si>
  <si>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</si>
  <si>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</si>
  <si>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</si>
  <si>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</si>
  <si>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</si>
  <si>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</si>
  <si>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</si>
  <si>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</si>
  <si>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</si>
  <si>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</si>
  <si>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</si>
  <si>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</si>
  <si>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</si>
  <si>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</si>
  <si>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</si>
  <si>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</si>
  <si>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</si>
  <si>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</si>
  <si>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</si>
  <si>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</si>
  <si>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</si>
  <si>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</si>
  <si>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</si>
  <si>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</si>
  <si>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</si>
  <si>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</si>
  <si>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</si>
  <si>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</si>
  <si>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</si>
  <si>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</si>
  <si>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</si>
  <si>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</si>
  <si>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</si>
  <si>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</si>
  <si>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</si>
  <si>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</si>
  <si>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</si>
  <si>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</si>
  <si>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</si>
  <si>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</si>
  <si>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</si>
  <si>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</si>
  <si>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</si>
  <si>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</si>
  <si>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</si>
  <si>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</si>
  <si>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</si>
  <si>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</si>
  <si>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</si>
  <si>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</si>
  <si>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</si>
  <si>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</si>
  <si>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</si>
  <si>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</si>
  <si>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</si>
  <si>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</si>
  <si>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</si>
  <si>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</si>
  <si>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</si>
  <si>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</si>
  <si>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</si>
  <si>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</si>
  <si>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</si>
  <si>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</si>
  <si>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</si>
  <si>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</si>
  <si>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</si>
  <si>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</si>
  <si>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</si>
  <si>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</si>
  <si>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</si>
  <si>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</si>
  <si>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</si>
  <si>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</si>
  <si>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</si>
  <si>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</si>
  <si>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</si>
  <si>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</si>
  <si>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</si>
  <si>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</si>
  <si>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</si>
  <si>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</si>
  <si>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</si>
  <si>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</si>
  <si>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</si>
  <si>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</si>
  <si>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</si>
  <si>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</si>
  <si>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</si>
  <si>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</si>
  <si>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</si>
  <si>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</si>
  <si>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</si>
  <si>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</si>
  <si>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</si>
  <si>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</si>
  <si>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</si>
  <si>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</si>
  <si>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</si>
  <si>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</si>
  <si>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</si>
  <si>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</si>
  <si>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</si>
  <si>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</si>
  <si>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</si>
  <si>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</si>
  <si>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</si>
  <si>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</si>
  <si>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</si>
  <si>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</si>
  <si>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</si>
  <si>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</si>
  <si>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</si>
  <si>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</si>
  <si>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</si>
  <si>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</si>
  <si>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</si>
  <si>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</si>
  <si>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</si>
  <si>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</si>
  <si>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</si>
  <si>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</si>
  <si>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</si>
  <si>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</si>
  <si>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</si>
  <si>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</si>
  <si>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</si>
  <si>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</si>
  <si>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</si>
  <si>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</si>
  <si>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</si>
  <si>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</si>
  <si>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</si>
  <si>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</si>
  <si>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</si>
  <si>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</si>
  <si>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</si>
  <si>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</si>
  <si>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</si>
  <si>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</si>
  <si>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</si>
  <si>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</si>
  <si>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</si>
  <si>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</si>
  <si>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</si>
  <si>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</si>
  <si>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</si>
  <si>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</si>
  <si>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</si>
  <si>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</si>
  <si>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</si>
  <si>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</si>
  <si>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</si>
  <si>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</si>
  <si>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</si>
  <si>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</si>
  <si>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</si>
  <si>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</si>
  <si>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</si>
  <si>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</si>
  <si>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</si>
  <si>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</si>
  <si>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</si>
  <si>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</si>
  <si>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</si>
  <si>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</si>
  <si>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</si>
  <si>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</si>
  <si>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</si>
  <si>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</si>
  <si>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</si>
  <si>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</si>
  <si>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</si>
  <si>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</si>
  <si>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</si>
  <si>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</si>
  <si>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</si>
  <si>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</si>
  <si>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</si>
  <si>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</si>
  <si>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</si>
  <si>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</si>
  <si>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</si>
  <si>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</si>
  <si>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</si>
  <si>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</si>
  <si>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</si>
  <si>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</si>
  <si>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</si>
  <si>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</si>
  <si>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</si>
  <si>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</si>
  <si>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</si>
  <si>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</si>
  <si>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</si>
  <si>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</si>
  <si>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</si>
  <si>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</si>
  <si>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</si>
  <si>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</si>
  <si>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</si>
  <si>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</si>
  <si>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</si>
  <si>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</si>
  <si>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</si>
  <si>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</si>
  <si>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</si>
  <si>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</si>
  <si>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</si>
  <si>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</si>
  <si>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</si>
  <si>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</si>
  <si>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</si>
  <si>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</si>
  <si>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</si>
  <si>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</si>
  <si>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</si>
  <si>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</si>
  <si>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</si>
  <si>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</si>
  <si>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</si>
  <si>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</si>
  <si>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</si>
  <si>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</si>
  <si>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</si>
  <si>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</si>
  <si>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</si>
  <si>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</si>
  <si>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</si>
  <si>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</si>
  <si>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</si>
  <si>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</si>
  <si>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</si>
  <si>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</si>
  <si>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</si>
  <si>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</si>
  <si>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</si>
  <si>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</si>
  <si>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</si>
  <si>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</si>
  <si>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</si>
  <si>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</si>
  <si>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</si>
  <si>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</si>
  <si>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</si>
  <si>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</si>
  <si>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</si>
  <si>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</si>
  <si>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</si>
  <si>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</si>
  <si>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</si>
  <si>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</si>
  <si>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</si>
  <si>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</si>
  <si>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</si>
  <si>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</si>
  <si>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</si>
  <si>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</si>
  <si>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</si>
  <si>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</si>
  <si>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</si>
  <si>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</si>
  <si>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</si>
  <si>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</si>
  <si>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</si>
  <si>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</si>
  <si>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</si>
  <si>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</si>
  <si>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</si>
  <si>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</si>
  <si>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</si>
  <si>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</si>
  <si>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</si>
  <si>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</si>
  <si>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</si>
  <si>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</si>
  <si>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</si>
  <si>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</si>
  <si>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</si>
  <si>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</si>
  <si>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</si>
  <si>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</si>
  <si>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</si>
  <si>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</si>
  <si>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</si>
  <si>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</si>
  <si>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</si>
  <si>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</si>
  <si>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</si>
  <si>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</si>
  <si>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</si>
  <si>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</si>
  <si>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</si>
  <si>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</si>
  <si>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</si>
  <si>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</si>
  <si>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</si>
  <si>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</si>
  <si>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</si>
  <si>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</si>
  <si>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</si>
  <si>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</si>
  <si>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</si>
  <si>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</si>
  <si>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</si>
  <si>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</si>
  <si>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</si>
  <si>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</si>
  <si>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</si>
  <si>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</si>
  <si>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</si>
  <si>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</si>
  <si>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</si>
  <si>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</si>
  <si>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</si>
  <si>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</si>
  <si>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</si>
  <si>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</si>
  <si>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</si>
  <si>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</si>
  <si>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</si>
  <si>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</si>
  <si>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</si>
  <si>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</si>
  <si>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</si>
  <si>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</si>
  <si>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</si>
  <si>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</si>
  <si>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</si>
  <si>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</si>
  <si>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</si>
  <si>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</si>
  <si>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</si>
  <si>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</si>
  <si>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</si>
  <si>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</si>
  <si>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</si>
  <si>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</si>
  <si>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</si>
  <si>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</si>
  <si>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</si>
  <si>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</si>
  <si>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</si>
  <si>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</si>
  <si>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</si>
  <si>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</si>
  <si>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</si>
  <si>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</si>
  <si>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</si>
  <si>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</si>
  <si>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</si>
  <si>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</si>
  <si>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</si>
  <si>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</si>
  <si>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</si>
  <si>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</si>
  <si>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</si>
  <si>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</si>
  <si>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</si>
  <si>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</si>
  <si>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</si>
  <si>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</si>
  <si>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</si>
  <si>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</si>
  <si>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</si>
  <si>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</si>
  <si>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</si>
  <si>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</si>
  <si>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</si>
  <si>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</si>
  <si>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</si>
  <si>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</si>
  <si>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</si>
  <si>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</si>
  <si>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</si>
  <si>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</si>
  <si>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</si>
  <si>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</si>
  <si>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</si>
  <si>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</si>
  <si>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</si>
  <si>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</si>
  <si>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</si>
  <si>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</si>
  <si>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</si>
  <si>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</si>
  <si>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</si>
  <si>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</si>
  <si>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</si>
  <si>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</si>
  <si>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</si>
  <si>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</si>
  <si>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</si>
  <si>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</si>
  <si>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</si>
  <si>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</si>
  <si>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</si>
  <si>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</si>
  <si>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</si>
  <si>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</si>
  <si>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</si>
  <si>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</si>
  <si>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</si>
  <si>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</si>
  <si>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</si>
  <si>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</si>
  <si>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</si>
  <si>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</si>
  <si>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</si>
  <si>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</si>
  <si>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</si>
  <si>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</si>
  <si>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</si>
  <si>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</si>
  <si>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</si>
  <si>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</si>
  <si>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</si>
  <si>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</si>
  <si>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</si>
  <si>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</si>
  <si>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</si>
  <si>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</si>
  <si>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</si>
  <si>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</si>
  <si>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</si>
  <si>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</si>
  <si>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</si>
  <si>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</si>
  <si>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</si>
  <si>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</si>
  <si>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</si>
  <si>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</si>
  <si>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</si>
  <si>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</si>
  <si>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</si>
  <si>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</si>
  <si>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</si>
  <si>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</si>
  <si>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</si>
  <si>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</si>
  <si>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</si>
  <si>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</si>
  <si>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</si>
  <si>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</si>
  <si>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</si>
  <si>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</si>
  <si>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</si>
  <si>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</si>
  <si>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</si>
  <si>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</si>
  <si>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</si>
  <si>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</si>
  <si>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</si>
  <si>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</si>
  <si>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</si>
  <si>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</si>
  <si>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</si>
  <si>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</si>
  <si>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</si>
  <si>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</si>
  <si>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</si>
  <si>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</si>
  <si>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</si>
  <si>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</si>
  <si>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</si>
  <si>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</si>
  <si>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</si>
  <si>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</si>
  <si>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</si>
  <si>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</si>
  <si>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</si>
  <si>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</si>
  <si>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</si>
  <si>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</si>
  <si>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</si>
  <si>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</si>
  <si>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</si>
  <si>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</si>
  <si>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</si>
  <si>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</si>
  <si>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</si>
  <si>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</si>
  <si>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</si>
  <si>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</si>
  <si>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</si>
  <si>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</si>
  <si>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</si>
  <si>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</si>
  <si>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</si>
  <si>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</si>
  <si>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</si>
  <si>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</si>
  <si>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</si>
  <si>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</si>
  <si>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</si>
  <si>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</si>
  <si>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</si>
  <si>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</si>
  <si>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</si>
  <si>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</si>
  <si>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</si>
  <si>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</si>
  <si>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</si>
  <si>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</si>
  <si>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</si>
  <si>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</si>
  <si>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</si>
  <si>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</si>
  <si>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</si>
  <si>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</si>
  <si>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</si>
  <si>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</si>
  <si>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</si>
  <si>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</si>
  <si>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</si>
  <si>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</si>
  <si>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</si>
  <si>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</si>
  <si>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</si>
  <si>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</si>
  <si>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</si>
  <si>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</si>
  <si>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</si>
  <si>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</si>
  <si>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</si>
  <si>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</si>
  <si>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</si>
  <si>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</si>
  <si>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</si>
  <si>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</si>
  <si>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</si>
  <si>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</si>
  <si>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</si>
  <si>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</si>
  <si>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</si>
  <si>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</si>
  <si>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</si>
  <si>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</si>
  <si>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</si>
  <si>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</si>
  <si>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</si>
  <si>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</si>
  <si>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</si>
  <si>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</si>
  <si>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</si>
  <si>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</si>
  <si>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</si>
  <si>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</si>
  <si>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</si>
  <si>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</si>
  <si>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</si>
  <si>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</si>
  <si>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</si>
  <si>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</si>
  <si>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</si>
  <si>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</si>
  <si>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</si>
  <si>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</si>
  <si>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</si>
  <si>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</si>
  <si>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</si>
  <si>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</si>
  <si>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</si>
  <si>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</si>
  <si>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</si>
  <si>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</si>
  <si>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</si>
  <si>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</si>
  <si>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</si>
  <si>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</si>
  <si>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</si>
  <si>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</si>
  <si>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</si>
  <si>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</si>
  <si>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</si>
  <si>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</si>
  <si>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</si>
  <si>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</si>
  <si>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</si>
  <si>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</si>
  <si>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</si>
  <si>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</si>
  <si>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</si>
  <si>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</si>
  <si>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</si>
  <si>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</si>
  <si>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</si>
  <si>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</si>
  <si>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</si>
  <si>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</si>
  <si>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</si>
  <si>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</si>
  <si>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</si>
  <si>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</si>
  <si>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</si>
  <si>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</si>
  <si>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</si>
  <si>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</si>
  <si>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</si>
  <si>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</si>
  <si>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</si>
  <si>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</si>
  <si>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</si>
  <si>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</si>
  <si>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</si>
  <si>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</si>
  <si>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</si>
  <si>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</si>
  <si>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</si>
  <si>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</si>
  <si>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</si>
  <si>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</si>
  <si>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</si>
  <si>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</si>
  <si>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</si>
  <si>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</si>
  <si>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</si>
  <si>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</si>
  <si>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</si>
  <si>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</si>
  <si>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</si>
  <si>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</si>
  <si>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</si>
  <si>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</si>
  <si>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</si>
  <si>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</si>
  <si>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</si>
  <si>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</si>
  <si>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</si>
  <si>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</si>
  <si>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</si>
  <si>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</si>
  <si>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</si>
  <si>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</si>
  <si>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</si>
  <si>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</si>
  <si>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</si>
  <si>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</si>
  <si>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</si>
  <si>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</si>
  <si>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</si>
  <si>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</si>
  <si>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</si>
  <si>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</si>
  <si>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</si>
  <si>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</si>
  <si>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</si>
  <si>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</si>
  <si>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</si>
  <si>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</si>
  <si>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</si>
  <si>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</si>
  <si>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</si>
  <si>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</si>
  <si>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</si>
  <si>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</si>
  <si>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</si>
  <si>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</si>
  <si>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</si>
  <si>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</si>
  <si>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</si>
  <si>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</si>
  <si>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</si>
  <si>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</si>
  <si>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</si>
  <si>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</si>
  <si>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</si>
  <si>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</si>
  <si>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</si>
  <si>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</si>
  <si>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</si>
  <si>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</si>
  <si>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</si>
  <si>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</si>
  <si>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</si>
  <si>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</si>
  <si>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</si>
  <si>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</si>
  <si>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</si>
  <si>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</si>
  <si>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</si>
  <si>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</si>
  <si>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</si>
  <si>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</si>
  <si>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</si>
  <si>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</si>
  <si>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</si>
  <si>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</si>
  <si>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</si>
  <si>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</si>
  <si>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</si>
  <si>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</si>
  <si>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</si>
  <si>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</si>
  <si>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</si>
  <si>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</si>
  <si>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</si>
  <si>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</si>
  <si>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</si>
  <si>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</si>
  <si>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</si>
  <si>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</si>
  <si>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</si>
  <si>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</si>
  <si>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</si>
  <si>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</si>
  <si>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</si>
  <si>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</si>
  <si>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</si>
  <si>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</si>
  <si>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</si>
  <si>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</si>
  <si>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</si>
  <si>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</si>
  <si>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</si>
  <si>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</si>
  <si>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</si>
  <si>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</si>
  <si>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</si>
  <si>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</si>
  <si>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</si>
  <si>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</si>
  <si>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</si>
  <si>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</si>
  <si>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</si>
  <si>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</si>
  <si>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</si>
  <si>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</si>
  <si>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</si>
  <si>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</si>
  <si>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</si>
  <si>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</si>
  <si>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</si>
  <si>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</si>
  <si>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</si>
  <si>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</si>
  <si>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</si>
  <si>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</si>
  <si>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</si>
  <si>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</si>
  <si>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</si>
  <si>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</si>
  <si>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</si>
  <si>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</si>
  <si>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</si>
  <si>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</si>
  <si>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</si>
  <si>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</si>
  <si>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</si>
  <si>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</si>
  <si>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</si>
  <si>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</si>
  <si>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</si>
  <si>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</si>
  <si>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</si>
  <si>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</si>
  <si>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</si>
  <si>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</si>
  <si>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</si>
  <si>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</si>
  <si>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</si>
  <si>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</si>
  <si>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</si>
  <si>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</si>
  <si>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</si>
  <si>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</si>
  <si>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</si>
  <si>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</si>
  <si>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</si>
  <si>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</si>
  <si>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</si>
  <si>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</si>
  <si>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</si>
  <si>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</si>
  <si>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</si>
  <si>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</si>
  <si>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</si>
  <si>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</si>
  <si>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</si>
  <si>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</si>
  <si>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</si>
  <si>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</si>
  <si>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</si>
  <si>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</si>
  <si>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</si>
  <si>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</si>
  <si>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</si>
  <si>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</si>
  <si>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</si>
  <si>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</si>
  <si>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</si>
  <si>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</si>
  <si>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</si>
  <si>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</si>
  <si>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</si>
  <si>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</si>
  <si>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</si>
  <si>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</si>
  <si>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</si>
  <si>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</si>
  <si>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</si>
  <si>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</si>
  <si>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</si>
  <si>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</si>
  <si>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</si>
  <si>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</si>
  <si>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</si>
  <si>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</si>
  <si>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</si>
  <si>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</si>
  <si>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</si>
  <si>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</si>
  <si>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</si>
  <si>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</si>
  <si>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</si>
  <si>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</si>
  <si>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</si>
  <si>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</si>
  <si>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</si>
  <si>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</si>
  <si>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</si>
  <si>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</si>
  <si>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</si>
  <si>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</si>
  <si>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</si>
  <si>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</si>
  <si>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</si>
  <si>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</si>
  <si>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</si>
  <si>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</si>
  <si>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</si>
  <si>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</si>
  <si>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</si>
  <si>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</si>
  <si>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</si>
  <si>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</si>
  <si>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</si>
  <si>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</si>
  <si>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</si>
  <si>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</si>
  <si>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</si>
  <si>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</si>
  <si>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</si>
  <si>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</si>
  <si>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</si>
  <si>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</si>
  <si>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</si>
  <si>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</si>
  <si>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</si>
  <si>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</si>
  <si>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</si>
  <si>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</si>
  <si>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</si>
  <si>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</si>
  <si>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</si>
  <si>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</si>
  <si>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</si>
  <si>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</si>
  <si>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</si>
  <si>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</si>
  <si>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</si>
  <si>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</si>
  <si>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</si>
  <si>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</si>
  <si>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</si>
  <si>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</si>
  <si>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</si>
  <si>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</si>
  <si>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</si>
  <si>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</si>
  <si>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</si>
  <si>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</si>
  <si>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</si>
  <si>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</si>
  <si>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</si>
  <si>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</si>
  <si>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</si>
  <si>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</si>
  <si>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</si>
  <si>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</si>
  <si>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</si>
  <si>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</si>
  <si>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</si>
  <si>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</si>
  <si>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</si>
  <si>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</si>
  <si>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</si>
  <si>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</si>
  <si>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</si>
  <si>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</si>
  <si>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</si>
  <si>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</si>
  <si>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</si>
  <si>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</si>
  <si>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</si>
  <si>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</si>
  <si>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</si>
  <si>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</si>
  <si>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</si>
  <si>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</si>
  <si>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</si>
  <si>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</si>
  <si>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</si>
  <si>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</si>
  <si>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</si>
  <si>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</si>
  <si>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</si>
  <si>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</si>
  <si>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</si>
  <si>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</si>
  <si>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</si>
  <si>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</si>
  <si>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</si>
  <si>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</si>
  <si>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</si>
  <si>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</si>
  <si>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</si>
  <si>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</si>
  <si>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</si>
  <si>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</si>
  <si>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</si>
  <si>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</si>
  <si>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</si>
  <si>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</si>
  <si>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</si>
  <si>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</si>
  <si>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</si>
  <si>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</si>
  <si>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</si>
  <si>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</si>
  <si>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</si>
  <si>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</si>
  <si>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</si>
  <si>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</si>
  <si>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</si>
  <si>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</si>
  <si>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</si>
  <si>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</si>
  <si>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</si>
  <si>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</si>
  <si>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</si>
  <si>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</si>
  <si>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</si>
  <si>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</si>
  <si>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</si>
  <si>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</si>
  <si>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</si>
  <si>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</si>
  <si>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</si>
  <si>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</si>
  <si>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</si>
  <si>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</si>
  <si>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</si>
  <si>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</si>
  <si>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</si>
  <si>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</si>
  <si>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</si>
  <si>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</si>
  <si>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</si>
  <si>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</si>
  <si>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</si>
  <si>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</si>
  <si>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</si>
  <si>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</si>
  <si>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</si>
  <si>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</si>
  <si>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</si>
  <si>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</si>
  <si>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</si>
  <si>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</si>
  <si>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</si>
  <si>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</si>
  <si>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</si>
  <si>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</si>
  <si>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</si>
  <si>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</si>
  <si>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</si>
  <si>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</si>
  <si>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</si>
  <si>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</si>
  <si>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</si>
  <si>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</si>
  <si>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</si>
  <si>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</si>
  <si>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</si>
  <si>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</si>
  <si>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</si>
  <si>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</si>
  <si>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</si>
  <si>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</si>
  <si>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</si>
  <si>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</si>
  <si>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</si>
  <si>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</si>
  <si>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</si>
  <si>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</si>
  <si>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</si>
  <si>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</si>
  <si>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</si>
  <si>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</si>
  <si>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</si>
  <si>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</si>
  <si>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</si>
  <si>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</si>
  <si>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</si>
  <si>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</si>
  <si>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</si>
  <si>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</si>
  <si>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</si>
  <si>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</si>
  <si>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</si>
  <si>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</si>
  <si>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</si>
  <si>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</si>
  <si>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</si>
  <si>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</si>
  <si>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</si>
  <si>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</si>
  <si>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</si>
  <si>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</si>
  <si>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</si>
  <si>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</si>
  <si>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</si>
  <si>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</si>
  <si>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</si>
  <si>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</si>
  <si>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</si>
  <si>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</si>
  <si>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</si>
  <si>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</si>
  <si>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</si>
  <si>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</si>
  <si>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</si>
  <si>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</si>
  <si>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</si>
  <si>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</si>
  <si>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</si>
  <si>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</si>
  <si>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</si>
  <si>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</si>
  <si>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</si>
  <si>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</si>
  <si>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</si>
  <si>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</si>
  <si>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</si>
  <si>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</si>
  <si>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</si>
  <si>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</si>
  <si>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</si>
  <si>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</si>
  <si>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</si>
  <si>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</si>
  <si>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</si>
  <si>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</si>
  <si>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</si>
  <si>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</si>
  <si>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</si>
  <si>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</si>
  <si>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</si>
  <si>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</si>
  <si>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</si>
  <si>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</si>
  <si>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</si>
  <si>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</si>
  <si>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</si>
  <si>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</si>
  <si>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</si>
  <si>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</si>
  <si>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</si>
  <si>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</si>
  <si>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</si>
  <si>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</si>
  <si>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</si>
  <si>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</si>
  <si>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</si>
  <si>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</si>
  <si>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</si>
  <si>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</si>
  <si>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</si>
  <si>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</si>
  <si>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</si>
  <si>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</si>
  <si>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</si>
  <si>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</si>
  <si>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</si>
  <si>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</si>
  <si>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</si>
  <si>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</si>
  <si>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</si>
  <si>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</si>
  <si>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</si>
  <si>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</si>
  <si>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</si>
  <si>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</si>
  <si>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</si>
  <si>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</si>
  <si>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</si>
  <si>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</si>
  <si>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</si>
  <si>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</si>
  <si>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</si>
  <si>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</si>
  <si>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</si>
  <si>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</si>
  <si>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</si>
  <si>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</si>
  <si>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</si>
  <si>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</si>
  <si>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</si>
  <si>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</si>
  <si>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</si>
  <si>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</si>
  <si>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</si>
  <si>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</si>
  <si>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</si>
  <si>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</si>
  <si>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</si>
  <si>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</si>
  <si>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</si>
  <si>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</si>
  <si>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</si>
  <si>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</si>
  <si>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</si>
  <si>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</si>
  <si>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</si>
  <si>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</si>
  <si>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</si>
  <si>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</si>
  <si>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</si>
  <si>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</si>
  <si>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</si>
  <si>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</si>
  <si>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</si>
  <si>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</si>
  <si>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</si>
  <si>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</si>
  <si>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</si>
  <si>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</si>
  <si>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</si>
  <si>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</si>
  <si>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</si>
  <si>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</si>
  <si>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</si>
  <si>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</si>
  <si>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</si>
  <si>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</si>
  <si>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</si>
  <si>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</si>
  <si>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</si>
  <si>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</si>
  <si>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</si>
  <si>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</si>
  <si>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</si>
  <si>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</si>
  <si>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</si>
  <si>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</si>
  <si>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</si>
  <si>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</si>
  <si>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</si>
  <si>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</si>
  <si>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</si>
  <si>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</si>
  <si>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</si>
  <si>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</si>
  <si>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</si>
  <si>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</si>
  <si>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</si>
  <si>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</si>
  <si>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</si>
  <si>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</si>
  <si>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</si>
  <si>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</si>
  <si>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</si>
  <si>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</si>
  <si>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</si>
  <si>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</si>
  <si>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</si>
  <si>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</si>
  <si>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</si>
  <si>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</si>
  <si>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</si>
  <si>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</si>
  <si>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</si>
  <si>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</si>
  <si>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</si>
  <si>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</si>
  <si>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</si>
  <si>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</si>
  <si>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</si>
  <si>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</si>
  <si>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</si>
  <si>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</si>
  <si>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</si>
  <si>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</si>
  <si>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</si>
  <si>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</si>
  <si>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</si>
  <si>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</si>
  <si>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</si>
  <si>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</si>
  <si>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</si>
  <si>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</si>
  <si>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</si>
  <si>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</si>
  <si>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</si>
  <si>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</si>
  <si>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</si>
  <si>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</si>
  <si>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</si>
  <si>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</si>
  <si>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</si>
  <si>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</si>
  <si>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</si>
  <si>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</si>
  <si>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</si>
  <si>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</si>
  <si>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</si>
  <si>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</si>
  <si>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</si>
  <si>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</si>
  <si>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</si>
  <si>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</si>
  <si>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</si>
  <si>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</si>
  <si>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</si>
  <si>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</si>
  <si>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</si>
  <si>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</si>
  <si>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</si>
  <si>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</si>
  <si>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</si>
  <si>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</si>
  <si>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</si>
  <si>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</si>
  <si>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</si>
  <si>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</si>
  <si>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</si>
  <si>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</si>
  <si>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</si>
  <si>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</si>
  <si>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</si>
  <si>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</si>
  <si>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</si>
  <si>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</si>
  <si>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</si>
  <si>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</si>
  <si>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</si>
  <si>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</si>
  <si>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</si>
  <si>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</si>
  <si>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</si>
  <si>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</si>
  <si>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</si>
  <si>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</si>
  <si>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</si>
  <si>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</si>
  <si>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</si>
  <si>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</si>
  <si>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</si>
  <si>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</si>
  <si>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</si>
  <si>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</si>
  <si>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</si>
  <si>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</si>
  <si>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</si>
  <si>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</si>
  <si>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</si>
  <si>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</si>
  <si>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</si>
  <si>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</si>
  <si>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</si>
  <si>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</si>
  <si>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</si>
  <si>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</si>
  <si>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</si>
  <si>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</si>
  <si>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</si>
  <si>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</si>
  <si>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</si>
  <si>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</si>
  <si>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</si>
  <si>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</si>
  <si>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</si>
  <si>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</si>
  <si>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</si>
  <si>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</si>
  <si>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</si>
  <si>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</si>
  <si>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</si>
  <si>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</si>
  <si>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</si>
  <si>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</si>
  <si>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</si>
  <si>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</si>
  <si>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</si>
  <si>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</si>
  <si>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</si>
  <si>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</si>
  <si>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</si>
  <si>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</si>
  <si>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</si>
  <si>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</si>
  <si>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</si>
  <si>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</si>
  <si>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</si>
  <si>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</si>
  <si>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</si>
  <si>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</si>
  <si>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</si>
  <si>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</si>
  <si>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</si>
  <si>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</si>
  <si>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</si>
  <si>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</si>
  <si>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</si>
  <si>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</si>
  <si>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</si>
  <si>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</si>
  <si>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</si>
  <si>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</si>
  <si>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</si>
  <si>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</si>
  <si>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</si>
  <si>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</si>
  <si>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</si>
  <si>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</si>
  <si>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</si>
  <si>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</si>
  <si>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</si>
  <si>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</si>
  <si>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</si>
  <si>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</si>
  <si>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</si>
  <si>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</si>
  <si>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</si>
  <si>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</si>
  <si>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</si>
  <si>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</si>
  <si>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</si>
  <si>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</si>
  <si>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</si>
  <si>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</si>
  <si>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</si>
  <si>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</si>
  <si>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</si>
  <si>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</si>
  <si>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</si>
  <si>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</si>
  <si>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</si>
  <si>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</si>
  <si>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</si>
  <si>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</si>
  <si>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</si>
  <si>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</si>
  <si>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</si>
  <si>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</si>
  <si>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</si>
  <si>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</si>
  <si>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</si>
  <si>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</si>
  <si>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</si>
  <si>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</si>
  <si>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</si>
  <si>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</si>
  <si>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</si>
  <si>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</si>
  <si>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</si>
  <si>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</si>
  <si>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</si>
  <si>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</si>
  <si>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</si>
  <si>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</si>
  <si>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</si>
  <si>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</si>
  <si>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</si>
  <si>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</si>
  <si>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</si>
  <si>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</si>
  <si>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</si>
  <si>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</si>
  <si>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</si>
  <si>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</si>
  <si>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</si>
  <si>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</si>
  <si>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</si>
  <si>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</si>
  <si>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</si>
  <si>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</si>
  <si>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</si>
  <si>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</si>
  <si>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</si>
  <si>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</si>
  <si>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</si>
  <si>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</si>
  <si>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</si>
  <si>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</si>
  <si>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</si>
  <si>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</si>
  <si>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</si>
  <si>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</si>
  <si>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</si>
  <si>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</si>
  <si>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</si>
  <si>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</si>
  <si>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</si>
  <si>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</si>
  <si>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</si>
  <si>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</si>
  <si>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</si>
  <si>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</si>
  <si>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</si>
  <si>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</si>
  <si>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</si>
  <si>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</si>
  <si>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</si>
  <si>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</si>
  <si>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</si>
  <si>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</si>
  <si>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</si>
  <si>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</si>
  <si>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</si>
  <si>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</si>
  <si>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</si>
  <si>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</si>
  <si>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</si>
  <si>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</si>
  <si>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</si>
  <si>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</si>
  <si>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</si>
  <si>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</si>
  <si>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</si>
  <si>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</si>
  <si>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</si>
  <si>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</si>
  <si>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</si>
  <si>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</si>
  <si>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</si>
  <si>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</si>
  <si>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</si>
  <si>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</si>
  <si>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</si>
  <si>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</si>
  <si>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</si>
  <si>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</si>
  <si>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</si>
  <si>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</si>
  <si>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</si>
  <si>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</si>
  <si>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</si>
  <si>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</si>
  <si>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</si>
  <si>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</si>
  <si>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</si>
  <si>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</si>
  <si>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</si>
  <si>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</si>
  <si>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</si>
  <si>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</si>
  <si>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</si>
  <si>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</si>
  <si>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</si>
  <si>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</si>
  <si>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</si>
  <si>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</si>
  <si>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</si>
  <si>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</si>
  <si>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</si>
  <si>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</si>
  <si>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</si>
  <si>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</si>
  <si>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</si>
  <si>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</si>
  <si>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</si>
  <si>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</si>
  <si>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</si>
  <si>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</si>
  <si>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</si>
  <si>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</si>
  <si>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</si>
  <si>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</si>
  <si>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</si>
  <si>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</si>
  <si>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</si>
  <si>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</si>
  <si>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</si>
  <si>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</si>
  <si>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</si>
  <si>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</si>
  <si>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</si>
  <si>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</si>
  <si>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</si>
  <si>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</si>
  <si>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</si>
  <si>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</si>
  <si>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</si>
  <si>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</si>
  <si>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</si>
  <si>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</si>
  <si>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</si>
  <si>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</si>
  <si>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</si>
  <si>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</si>
  <si>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</si>
  <si>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</si>
  <si>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</si>
  <si>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</si>
  <si>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</si>
  <si>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</si>
  <si>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</si>
  <si>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</si>
  <si>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</si>
  <si>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</si>
  <si>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</si>
  <si>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</si>
  <si>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</si>
  <si>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</si>
  <si>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</si>
  <si>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</si>
  <si>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</si>
  <si>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</si>
  <si>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</si>
  <si>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</si>
  <si>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</si>
  <si>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</si>
  <si>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</si>
  <si>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</si>
  <si>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</si>
  <si>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</si>
  <si>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</si>
  <si>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</si>
  <si>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</si>
  <si>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</si>
  <si>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</si>
  <si>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</si>
  <si>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</si>
  <si>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</si>
  <si>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</si>
  <si>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</si>
  <si>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</si>
  <si>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</si>
  <si>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</si>
  <si>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</si>
  <si>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</si>
  <si>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</si>
  <si>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</si>
  <si>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</si>
  <si>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</si>
  <si>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</si>
  <si>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</si>
  <si>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</si>
  <si>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</si>
  <si>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</si>
  <si>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</si>
  <si>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</si>
  <si>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</si>
  <si>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</si>
  <si>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</si>
  <si>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</si>
  <si>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</si>
  <si>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</si>
  <si>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</si>
  <si>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</si>
  <si>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</si>
  <si>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</si>
  <si>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</si>
  <si>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</si>
  <si>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</si>
  <si>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</si>
  <si>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</si>
  <si>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</si>
  <si>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</si>
  <si>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</si>
  <si>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</si>
  <si>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</si>
  <si>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</si>
  <si>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</si>
  <si>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</si>
  <si>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</si>
  <si>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</si>
  <si>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</si>
  <si>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</si>
  <si>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</si>
  <si>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</si>
  <si>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</si>
  <si>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</si>
  <si>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</si>
  <si>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</si>
  <si>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</si>
  <si>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</si>
  <si>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</si>
  <si>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</si>
  <si>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</si>
  <si>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</si>
  <si>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</si>
  <si>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</si>
  <si>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</si>
  <si>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</si>
  <si>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</si>
  <si>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</si>
  <si>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</si>
  <si>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</si>
  <si>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</si>
  <si>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</si>
  <si>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</si>
  <si>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</si>
  <si>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</si>
  <si>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</si>
  <si>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</si>
  <si>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</si>
  <si>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</si>
  <si>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</si>
  <si>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</si>
  <si>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</si>
  <si>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</si>
  <si>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</si>
  <si>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</si>
  <si>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</si>
  <si>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</si>
  <si>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</si>
  <si>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</si>
  <si>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</si>
  <si>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</si>
  <si>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</si>
  <si>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</si>
  <si>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</si>
  <si>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</si>
  <si>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</si>
  <si>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</si>
  <si>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</si>
  <si>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</si>
  <si>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</si>
  <si>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</si>
  <si>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</si>
  <si>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</si>
  <si>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</si>
  <si>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</si>
  <si>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</si>
  <si>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</si>
  <si>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</si>
  <si>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</si>
  <si>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</si>
  <si>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</si>
  <si>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</si>
  <si>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</si>
  <si>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</si>
  <si>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</si>
  <si>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</si>
  <si>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</si>
  <si>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</si>
  <si>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</si>
  <si>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</si>
  <si>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</si>
  <si>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</si>
  <si>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</si>
  <si>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</si>
  <si>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</si>
  <si>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</si>
  <si>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</si>
  <si>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</si>
  <si>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</si>
  <si>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</si>
  <si>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</si>
  <si>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</si>
  <si>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</si>
  <si>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</si>
  <si>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</si>
  <si>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</si>
  <si>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</si>
  <si>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</si>
  <si>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</si>
  <si>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</si>
  <si>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</si>
  <si>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</si>
  <si>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</si>
  <si>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</si>
  <si>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</si>
  <si>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</si>
  <si>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</si>
  <si>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</si>
  <si>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</si>
  <si>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</si>
  <si>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</si>
  <si>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</si>
  <si>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</si>
  <si>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</si>
  <si>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</si>
  <si>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</si>
  <si>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</si>
  <si>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</si>
  <si>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</si>
  <si>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</si>
  <si>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</si>
  <si>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</si>
  <si>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</si>
  <si>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</si>
  <si>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</si>
  <si>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</si>
  <si>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</si>
  <si>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</si>
  <si>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</si>
  <si>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</si>
  <si>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</si>
  <si>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</si>
  <si>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</si>
  <si>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</si>
  <si>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</si>
  <si>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</si>
  <si>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</si>
  <si>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</si>
  <si>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</si>
  <si>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</si>
  <si>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</si>
  <si>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</si>
  <si>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</si>
  <si>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</si>
  <si>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</si>
  <si>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</si>
  <si>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</si>
  <si>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</si>
  <si>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</si>
  <si>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</si>
  <si>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</si>
  <si>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</si>
  <si>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</si>
  <si>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</si>
  <si>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</si>
  <si>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</si>
  <si>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</si>
  <si>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</si>
  <si>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</si>
  <si>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</si>
  <si>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</si>
  <si>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</si>
  <si>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</si>
  <si>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</si>
  <si>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</si>
  <si>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</si>
  <si>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</si>
  <si>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</si>
  <si>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</si>
  <si>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</si>
  <si>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</si>
  <si>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</si>
  <si>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</si>
  <si>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</si>
  <si>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</si>
  <si>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</si>
  <si>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</si>
  <si>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</si>
  <si>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</si>
  <si>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</si>
  <si>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</si>
  <si>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</si>
  <si>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</si>
  <si>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</si>
  <si>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</si>
  <si>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</si>
  <si>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</si>
  <si>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</si>
  <si>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</si>
  <si>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</si>
  <si>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</si>
  <si>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</si>
  <si>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</si>
  <si>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</si>
  <si>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</si>
  <si>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</si>
  <si>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</si>
  <si>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</si>
  <si>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</si>
  <si>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</si>
  <si>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</si>
  <si>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</si>
  <si>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</si>
  <si>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</si>
  <si>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</si>
  <si>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</si>
  <si>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</si>
  <si>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</si>
  <si>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</si>
  <si>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</si>
  <si>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</si>
  <si>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</si>
  <si>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</si>
  <si>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</si>
  <si>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</si>
  <si>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</si>
  <si>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</si>
  <si>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</si>
  <si>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</si>
  <si>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</si>
  <si>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</si>
  <si>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</si>
  <si>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</si>
  <si>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</si>
  <si>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</si>
  <si>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</si>
  <si>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</si>
  <si>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</si>
  <si>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</si>
  <si>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</si>
  <si>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</si>
  <si>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</si>
  <si>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</si>
  <si>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</si>
  <si>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</si>
  <si>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</si>
  <si>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</si>
  <si>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</si>
  <si>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</si>
  <si>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</si>
  <si>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</si>
  <si>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</si>
  <si>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</si>
  <si>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</si>
  <si>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</si>
  <si>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</si>
  <si>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</si>
  <si>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</si>
  <si>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</si>
  <si>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</si>
  <si>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</si>
  <si>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</si>
  <si>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</si>
  <si>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</si>
  <si>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</si>
  <si>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</si>
  <si>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</si>
  <si>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</si>
  <si>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</si>
  <si>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</si>
  <si>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</si>
  <si>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</si>
  <si>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</si>
  <si>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</si>
  <si>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</si>
  <si>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</si>
  <si>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</si>
  <si>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</si>
  <si>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</si>
  <si>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</si>
  <si>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</si>
  <si>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</si>
  <si>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</si>
  <si>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</si>
  <si>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</si>
  <si>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</si>
  <si>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</si>
  <si>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</si>
  <si>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</si>
  <si>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</si>
  <si>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</si>
  <si>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</si>
  <si>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</si>
  <si>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</si>
  <si>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</si>
  <si>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</si>
  <si>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</si>
  <si>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</si>
  <si>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</si>
  <si>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</si>
  <si>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</si>
  <si>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</si>
  <si>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</si>
  <si>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</si>
  <si>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</si>
  <si>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</si>
  <si>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</si>
  <si>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</si>
  <si>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</si>
  <si>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</si>
  <si>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</si>
  <si>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</si>
  <si>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</si>
  <si>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</si>
  <si>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</si>
  <si>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</si>
  <si>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</si>
  <si>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</si>
  <si>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</si>
  <si>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</si>
  <si>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</si>
  <si>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</si>
  <si>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</si>
  <si>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</si>
  <si>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</si>
  <si>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</si>
  <si>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</si>
  <si>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</si>
  <si>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</si>
  <si>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</si>
  <si>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</si>
  <si>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</si>
  <si>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</si>
  <si>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</si>
  <si>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</si>
  <si>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</si>
  <si>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</si>
  <si>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</si>
  <si>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</si>
  <si>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</si>
  <si>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</si>
  <si>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</si>
  <si>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</si>
  <si>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</si>
  <si>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</si>
  <si>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</si>
  <si>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</si>
  <si>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</si>
  <si>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</si>
  <si>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</si>
  <si>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</si>
  <si>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</si>
  <si>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</si>
  <si>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</si>
  <si>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</si>
  <si>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</si>
  <si>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</si>
  <si>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</si>
  <si>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</si>
  <si>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</si>
  <si>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</si>
  <si>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</si>
  <si>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</si>
  <si>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</si>
  <si>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</si>
  <si>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</si>
  <si>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</si>
  <si>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</si>
  <si>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</si>
  <si>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</si>
  <si>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</si>
  <si>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</si>
  <si>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</si>
  <si>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</si>
  <si>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</si>
  <si>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</si>
  <si>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</si>
  <si>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</si>
  <si>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</si>
  <si>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</si>
  <si>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</si>
  <si>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</si>
  <si>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</si>
  <si>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</si>
  <si>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</si>
  <si>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</si>
  <si>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</si>
  <si>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</si>
  <si>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</si>
  <si>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</si>
  <si>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</si>
  <si>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</si>
  <si>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</si>
  <si>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</si>
  <si>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</si>
  <si>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</si>
  <si>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</si>
  <si>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</si>
  <si>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</si>
  <si>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</si>
  <si>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</si>
  <si>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</si>
  <si>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</si>
  <si>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</si>
  <si>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</si>
  <si>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</si>
  <si>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</si>
  <si>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</si>
  <si>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</si>
  <si>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</si>
  <si>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</si>
  <si>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</si>
  <si>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</si>
  <si>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</si>
  <si>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</si>
  <si>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</si>
  <si>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</si>
  <si>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</si>
  <si>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</si>
  <si>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</si>
  <si>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</si>
  <si>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</si>
  <si>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</si>
  <si>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</si>
  <si>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</si>
  <si>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</si>
  <si>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</si>
  <si>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</si>
  <si>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</si>
  <si>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</si>
  <si>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</si>
  <si>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</si>
  <si>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</si>
  <si>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</si>
  <si>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</si>
  <si>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</si>
  <si>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</si>
  <si>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</si>
  <si>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</si>
  <si>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</si>
  <si>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</si>
  <si>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</si>
  <si>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</si>
  <si>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</si>
  <si>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</si>
  <si>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</si>
  <si>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</si>
  <si>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</si>
  <si>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</si>
  <si>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</si>
  <si>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</si>
  <si>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</si>
  <si>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</si>
  <si>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</si>
  <si>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</si>
  <si>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</si>
  <si>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</si>
  <si>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</si>
  <si>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</si>
  <si>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</si>
  <si>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</si>
  <si>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</si>
  <si>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</si>
  <si>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</si>
  <si>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</si>
  <si>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</si>
  <si>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</si>
  <si>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</si>
  <si>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</si>
  <si>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</si>
  <si>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</si>
  <si>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</si>
  <si>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</si>
  <si>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</si>
  <si>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</si>
  <si>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</si>
  <si>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</si>
  <si>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</si>
  <si>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</si>
  <si>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</si>
  <si>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</si>
  <si>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</si>
  <si>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</si>
  <si>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</si>
  <si>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</si>
  <si>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</si>
  <si>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</si>
  <si>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</si>
  <si>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</si>
  <si>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</si>
  <si>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</si>
  <si>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</si>
  <si>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</si>
  <si>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</si>
  <si>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</si>
  <si>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</si>
  <si>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</si>
  <si>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</si>
  <si>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</si>
  <si>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</si>
  <si>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</si>
  <si>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</si>
  <si>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</si>
  <si>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</si>
  <si>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</si>
  <si>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</si>
  <si>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</si>
  <si>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</si>
  <si>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</si>
  <si>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</si>
  <si>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</si>
  <si>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</si>
  <si>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</si>
  <si>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</si>
  <si>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</si>
  <si>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</si>
  <si>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</si>
  <si>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</si>
  <si>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</si>
  <si>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</si>
  <si>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</si>
  <si>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</si>
  <si>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</si>
  <si>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</si>
  <si>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</si>
  <si>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</si>
  <si>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</si>
  <si>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</si>
  <si>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</si>
  <si>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</si>
  <si>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</si>
  <si>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</si>
  <si>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</si>
  <si>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</si>
  <si>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</si>
  <si>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</si>
  <si>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</si>
  <si>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</si>
  <si>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</si>
  <si>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</si>
  <si>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</si>
  <si>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</si>
  <si>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</si>
  <si>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</si>
  <si>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</si>
  <si>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</si>
  <si>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</si>
  <si>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</si>
  <si>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</si>
  <si>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</si>
  <si>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</si>
  <si>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</si>
  <si>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</si>
  <si>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</si>
  <si>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</si>
  <si>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</si>
  <si>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</si>
  <si>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</si>
  <si>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</si>
  <si>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</si>
  <si>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</si>
  <si>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</si>
  <si>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</si>
  <si>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</si>
  <si>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</si>
  <si>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</si>
  <si>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</si>
  <si>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</si>
  <si>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</si>
  <si>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</si>
  <si>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</si>
  <si>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</si>
  <si>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</si>
  <si>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</si>
  <si>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</si>
  <si>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</si>
  <si>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</si>
  <si>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</si>
  <si>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</si>
  <si>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</si>
  <si>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</si>
  <si>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</si>
  <si>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</si>
  <si>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</si>
  <si>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</si>
  <si>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</si>
  <si>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</si>
  <si>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</si>
  <si>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</si>
  <si>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</si>
  <si>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</si>
  <si>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</si>
  <si>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</si>
  <si>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</si>
  <si>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</si>
  <si>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</si>
  <si>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</si>
  <si>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</si>
  <si>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</si>
  <si>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</si>
  <si>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</si>
  <si>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</si>
  <si>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</si>
  <si>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</si>
  <si>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</si>
  <si>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</si>
  <si>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</si>
  <si>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</si>
  <si>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</si>
  <si>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</si>
  <si>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</si>
  <si>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</si>
  <si>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</si>
  <si>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</si>
  <si>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</si>
  <si>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</si>
  <si>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</si>
  <si>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</si>
  <si>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</si>
  <si>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</si>
  <si>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</si>
  <si>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</si>
  <si>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</si>
  <si>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</si>
  <si>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</si>
  <si>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</si>
  <si>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</si>
  <si>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</si>
  <si>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</si>
  <si>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</si>
  <si>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</si>
  <si>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</si>
  <si>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</si>
  <si>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</si>
  <si>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</si>
  <si>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</si>
  <si>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</si>
  <si>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</si>
  <si>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</si>
  <si>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</si>
  <si>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</si>
  <si>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</si>
  <si>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</si>
  <si>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</si>
  <si>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</si>
  <si>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</si>
  <si>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</si>
  <si>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</si>
  <si>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</si>
  <si>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</si>
  <si>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</si>
  <si>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</si>
  <si>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</si>
  <si>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</si>
  <si>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</si>
  <si>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</si>
  <si>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</si>
  <si>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</si>
  <si>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</si>
  <si>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</si>
  <si>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</si>
  <si>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</si>
  <si>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</si>
  <si>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</si>
  <si>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</si>
  <si>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</si>
  <si>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</si>
  <si>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</si>
  <si>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</si>
  <si>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</si>
  <si>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</si>
  <si>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</si>
  <si>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</si>
  <si>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</si>
  <si>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</si>
  <si>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</si>
  <si>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</si>
  <si>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</si>
  <si>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</si>
  <si>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</si>
  <si>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</si>
  <si>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</si>
  <si>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</si>
  <si>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</si>
  <si>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</si>
  <si>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</si>
  <si>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</si>
  <si>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</si>
  <si>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</si>
  <si>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</si>
  <si>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</si>
  <si>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</si>
  <si>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</si>
  <si>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</si>
  <si>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</si>
  <si>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</si>
  <si>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</si>
  <si>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</si>
  <si>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</si>
  <si>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</si>
  <si>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</si>
  <si>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</si>
  <si>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</si>
  <si>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</si>
  <si>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</si>
  <si>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</si>
  <si>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</si>
  <si>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</si>
  <si>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</si>
  <si>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</si>
  <si>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</si>
  <si>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</si>
  <si>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</si>
  <si>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</si>
  <si>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</si>
  <si>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</si>
  <si>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</si>
  <si>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</si>
  <si>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</si>
  <si>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</si>
  <si>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</si>
  <si>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</si>
  <si>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</si>
  <si>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</si>
  <si>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</si>
  <si>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</si>
  <si>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</si>
  <si>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</si>
  <si>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</si>
  <si>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</si>
  <si>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</si>
  <si>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</si>
  <si>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</si>
  <si>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</si>
  <si>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</si>
  <si>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</si>
  <si>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</si>
  <si>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</si>
  <si>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</si>
  <si>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</si>
  <si>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</si>
  <si>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</si>
  <si>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</si>
  <si>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</si>
  <si>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</si>
  <si>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</si>
  <si>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</si>
  <si>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</si>
  <si>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</si>
  <si>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</si>
  <si>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</si>
  <si>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</si>
  <si>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</si>
  <si>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</si>
  <si>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</si>
  <si>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</si>
  <si>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</si>
  <si>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</si>
  <si>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</si>
  <si>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</si>
  <si>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</si>
  <si>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</si>
  <si>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</si>
  <si>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</si>
  <si>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</si>
  <si>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</si>
  <si>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</si>
  <si>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</si>
  <si>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</si>
  <si>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</si>
  <si>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</si>
  <si>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</si>
  <si>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</si>
  <si>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</si>
  <si>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</si>
  <si>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</si>
  <si>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</si>
  <si>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</si>
  <si>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</si>
  <si>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</si>
  <si>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</si>
  <si>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</si>
  <si>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</si>
  <si>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</si>
  <si>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</si>
  <si>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</si>
  <si>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</si>
  <si>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</si>
  <si>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</si>
  <si>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</si>
  <si>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</si>
  <si>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</si>
  <si>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</si>
  <si>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</si>
  <si>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</si>
  <si>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</si>
  <si>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</si>
  <si>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</si>
  <si>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</si>
  <si>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</si>
  <si>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</si>
  <si>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</si>
  <si>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</si>
  <si>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</si>
  <si>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</si>
  <si>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</si>
  <si>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</si>
  <si>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</si>
  <si>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</si>
  <si>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</si>
  <si>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</si>
  <si>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</si>
  <si>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</si>
  <si>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</si>
  <si>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</si>
  <si>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</si>
  <si>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</si>
  <si>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</si>
  <si>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</si>
  <si>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</si>
  <si>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</si>
  <si>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</si>
  <si>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</si>
  <si>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</si>
  <si>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</si>
  <si>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</si>
  <si>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</si>
  <si>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</si>
  <si>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</si>
  <si>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</si>
  <si>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</si>
  <si>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</si>
  <si>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</si>
  <si>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</si>
  <si>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</si>
  <si>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</si>
  <si>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</si>
  <si>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</si>
  <si>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</si>
  <si>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</si>
  <si>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</si>
  <si>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</si>
  <si>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</si>
  <si>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</si>
  <si>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</si>
  <si>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</si>
  <si>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</si>
  <si>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</si>
  <si>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</si>
  <si>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</si>
  <si>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</si>
  <si>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</si>
  <si>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</si>
  <si>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</si>
  <si>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</si>
  <si>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</si>
  <si>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</si>
  <si>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</si>
  <si>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</si>
  <si>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</si>
  <si>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</si>
  <si>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</si>
  <si>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</si>
  <si>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</si>
  <si>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</si>
  <si>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</si>
  <si>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</si>
  <si>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</si>
  <si>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</si>
  <si>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</si>
  <si>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</si>
  <si>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</si>
  <si>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</si>
  <si>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</si>
  <si>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</si>
  <si>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</si>
  <si>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</si>
  <si>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</si>
  <si>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</si>
  <si>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</si>
  <si>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</si>
  <si>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</si>
  <si>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</si>
  <si>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</si>
  <si>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</si>
  <si>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</si>
  <si>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</si>
  <si>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</si>
  <si>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</si>
  <si>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</si>
  <si>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</si>
  <si>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</si>
  <si>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</si>
  <si>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</si>
  <si>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</si>
  <si>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</si>
  <si>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</si>
  <si>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</si>
  <si>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</si>
  <si>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</si>
  <si>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</si>
  <si>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</si>
  <si>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</si>
  <si>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</si>
  <si>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</si>
  <si>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</si>
  <si>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</si>
  <si>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</si>
  <si>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</si>
  <si>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</si>
  <si>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</si>
  <si>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</si>
  <si>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</si>
  <si>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</si>
  <si>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</si>
  <si>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</si>
  <si>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</si>
  <si>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</si>
  <si>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</si>
  <si>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</si>
  <si>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</si>
  <si>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</si>
  <si>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</si>
  <si>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</si>
  <si>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</si>
  <si>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</si>
  <si>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</si>
  <si>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</si>
  <si>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</si>
  <si>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</si>
  <si>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</si>
  <si>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</si>
  <si>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</si>
  <si>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</si>
  <si>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</si>
  <si>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</si>
  <si>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</si>
  <si>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</si>
  <si>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</si>
  <si>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</si>
  <si>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</si>
  <si>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</si>
  <si>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</si>
  <si>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</si>
  <si>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</si>
  <si>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</si>
  <si>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</si>
  <si>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</si>
  <si>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</si>
  <si>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</si>
  <si>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</si>
  <si>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</si>
  <si>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</si>
  <si>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</si>
  <si>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</si>
  <si>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</si>
  <si>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</si>
  <si>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</si>
  <si>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</si>
  <si>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</si>
  <si>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</si>
  <si>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</si>
  <si>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</si>
  <si>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</si>
  <si>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</si>
  <si>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</si>
  <si>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</si>
  <si>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</si>
  <si>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</si>
  <si>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</si>
  <si>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</si>
  <si>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</si>
  <si>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</si>
  <si>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</si>
  <si>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</si>
  <si>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</si>
  <si>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</si>
  <si>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</si>
  <si>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</si>
  <si>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</si>
  <si>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</si>
  <si>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</si>
  <si>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</si>
  <si>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</si>
  <si>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</si>
  <si>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</si>
  <si>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</si>
  <si>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</si>
  <si>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</si>
  <si>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</si>
  <si>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</si>
  <si>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</si>
  <si>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</si>
  <si>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</si>
  <si>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</si>
  <si>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</si>
  <si>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</si>
  <si>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</si>
  <si>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</si>
  <si>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</si>
  <si>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</si>
  <si>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</si>
  <si>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</si>
  <si>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</si>
  <si>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</si>
  <si>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</si>
  <si>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</si>
  <si>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</si>
  <si>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</si>
  <si>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</si>
  <si>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</si>
  <si>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</si>
  <si>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</si>
  <si>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</si>
  <si>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</si>
  <si>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</si>
  <si>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</si>
  <si>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</si>
  <si>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</si>
  <si>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</si>
  <si>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</si>
  <si>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</si>
  <si>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</si>
  <si>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</si>
  <si>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</si>
  <si>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</si>
  <si>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</si>
  <si>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</si>
  <si>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</si>
  <si>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</si>
  <si>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</si>
  <si>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</si>
  <si>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</si>
  <si>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</si>
  <si>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</si>
  <si>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</si>
  <si>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</si>
  <si>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</si>
  <si>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</si>
  <si>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</si>
  <si>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</si>
  <si>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</si>
  <si>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</si>
  <si>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</si>
  <si>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</si>
  <si>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</si>
  <si>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</si>
  <si>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</si>
  <si>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</si>
  <si>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</si>
  <si>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</si>
  <si>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</si>
  <si>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</si>
  <si>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</si>
  <si>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</si>
  <si>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</si>
  <si>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</si>
  <si>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</si>
  <si>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</si>
  <si>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</si>
  <si>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</si>
  <si>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</si>
  <si>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</si>
  <si>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</si>
  <si>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</si>
  <si>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</si>
  <si>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</si>
  <si>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</si>
  <si>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</si>
  <si>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</si>
  <si>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</si>
  <si>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</si>
  <si>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</si>
  <si>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</si>
  <si>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</si>
  <si>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</si>
  <si>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</si>
  <si>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</si>
  <si>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</si>
  <si>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</si>
  <si>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</si>
  <si>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</si>
  <si>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</si>
  <si>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</si>
  <si>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</si>
  <si>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</si>
  <si>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</si>
  <si>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</si>
  <si>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</si>
  <si>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</si>
  <si>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</si>
  <si>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</si>
  <si>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</si>
  <si>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</si>
  <si>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</si>
  <si>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</si>
  <si>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</si>
  <si>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</si>
  <si>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</si>
  <si>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</si>
  <si>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</si>
  <si>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</si>
  <si>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</si>
  <si>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</si>
  <si>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</si>
  <si>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</si>
  <si>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</si>
  <si>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</si>
  <si>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</si>
  <si>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</si>
  <si>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</si>
  <si>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</si>
  <si>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</si>
  <si>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</si>
  <si>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</si>
  <si>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</si>
  <si>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</si>
  <si>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</si>
  <si>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</si>
  <si>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</si>
  <si>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</si>
  <si>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</si>
  <si>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</si>
  <si>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</si>
  <si>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</si>
  <si>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</si>
  <si>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</si>
  <si>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</si>
  <si>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</si>
  <si>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</si>
  <si>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</si>
  <si>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</si>
  <si>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</si>
  <si>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</si>
  <si>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</si>
  <si>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</si>
  <si>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</si>
  <si>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</si>
  <si>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</si>
  <si>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</si>
  <si>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</si>
  <si>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</si>
  <si>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</si>
  <si>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</si>
  <si>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</si>
  <si>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</si>
  <si>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</si>
  <si>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</si>
  <si>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</si>
  <si>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</si>
  <si>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</si>
  <si>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</si>
  <si>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</si>
  <si>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</si>
  <si>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</si>
  <si>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</si>
  <si>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</si>
  <si>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</si>
  <si>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</si>
  <si>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</si>
  <si>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</si>
  <si>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</si>
  <si>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</si>
  <si>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</si>
  <si>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</si>
  <si>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</si>
  <si>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</si>
  <si>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</si>
  <si>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</si>
  <si>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</si>
  <si>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</si>
  <si>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</si>
  <si>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</si>
  <si>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</si>
  <si>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</si>
  <si>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</si>
  <si>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</si>
  <si>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</si>
  <si>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</si>
  <si>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</si>
  <si>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</si>
  <si>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</si>
  <si>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</si>
  <si>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</si>
  <si>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</si>
  <si>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</si>
  <si>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</si>
  <si>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</si>
  <si>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</si>
  <si>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</si>
  <si>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</si>
  <si>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</si>
  <si>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</si>
  <si>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</si>
  <si>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</si>
  <si>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</si>
  <si>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</si>
  <si>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</si>
  <si>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</si>
  <si>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</si>
  <si>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</si>
  <si>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</si>
  <si>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</si>
  <si>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</si>
  <si>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</si>
  <si>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</si>
  <si>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</si>
  <si>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</si>
  <si>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</si>
  <si>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</si>
  <si>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</si>
  <si>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</si>
  <si>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</si>
  <si>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</si>
  <si>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</si>
  <si>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</si>
  <si>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</si>
  <si>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</si>
  <si>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</si>
  <si>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</si>
  <si>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</si>
  <si>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</si>
  <si>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</si>
  <si>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</si>
  <si>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</si>
  <si>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</si>
  <si>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</si>
  <si>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</si>
  <si>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</si>
  <si>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</si>
  <si>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</si>
  <si>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</si>
  <si>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</si>
  <si>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</si>
  <si>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</si>
  <si>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</si>
  <si>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</si>
  <si>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</si>
  <si>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</si>
  <si>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</si>
  <si>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</si>
  <si>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</si>
  <si>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</si>
  <si>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</si>
  <si>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</si>
  <si>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</si>
  <si>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</si>
  <si>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</si>
  <si>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</si>
  <si>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</si>
  <si>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</si>
  <si>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</si>
  <si>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</si>
  <si>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</si>
  <si>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</si>
  <si>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</si>
  <si>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</si>
  <si>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</si>
  <si>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</si>
  <si>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</si>
  <si>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</si>
  <si>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</si>
  <si>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</si>
  <si>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</si>
  <si>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</si>
  <si>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</si>
  <si>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</si>
  <si>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</si>
  <si>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</si>
  <si>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</si>
  <si>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</si>
  <si>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</si>
  <si>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</si>
  <si>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</si>
  <si>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</si>
  <si>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</si>
  <si>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</si>
  <si>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</si>
  <si>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</si>
  <si>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</si>
  <si>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</si>
  <si>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</si>
  <si>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</si>
  <si>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</si>
  <si>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</si>
  <si>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</si>
  <si>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</si>
  <si>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</si>
  <si>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</si>
  <si>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</si>
  <si>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</si>
  <si>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</si>
  <si>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</si>
  <si>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</si>
  <si>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</si>
  <si>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</si>
  <si>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</si>
  <si>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</si>
  <si>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</si>
  <si>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</si>
  <si>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</si>
  <si>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</si>
  <si>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</si>
  <si>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</si>
  <si>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</si>
  <si>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</si>
  <si>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</si>
  <si>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</si>
  <si>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</si>
  <si>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</si>
  <si>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</si>
  <si>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</si>
  <si>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</si>
  <si>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</si>
  <si>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</si>
  <si>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</si>
  <si>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</si>
  <si>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</si>
  <si>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</si>
  <si>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</si>
  <si>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</si>
  <si>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</si>
  <si>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</si>
  <si>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</si>
  <si>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</si>
  <si>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</si>
  <si>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</si>
  <si>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</si>
  <si>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</si>
  <si>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</si>
  <si>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</si>
  <si>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</si>
  <si>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</si>
  <si>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</si>
  <si>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</si>
  <si>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</si>
  <si>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</si>
  <si>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</si>
  <si>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</si>
  <si>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</si>
  <si>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</si>
  <si>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</si>
  <si>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</si>
  <si>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</si>
  <si>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</si>
  <si>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</si>
  <si>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</si>
  <si>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</si>
  <si>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</si>
  <si>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</si>
  <si>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</si>
  <si>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</si>
  <si>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</si>
  <si>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</si>
  <si>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</si>
  <si>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</si>
  <si>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</si>
  <si>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</si>
  <si>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</si>
  <si>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</si>
  <si>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</si>
  <si>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</si>
  <si>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</si>
  <si>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</si>
  <si>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</si>
  <si>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</si>
  <si>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</si>
  <si>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</si>
  <si>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</si>
  <si>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</si>
  <si>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</si>
  <si>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</si>
  <si>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</si>
  <si>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</si>
  <si>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</si>
  <si>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</si>
  <si>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</si>
  <si>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</si>
  <si>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</si>
  <si>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</si>
  <si>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</si>
  <si>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</si>
  <si>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</si>
  <si>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</si>
  <si>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</si>
  <si>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</si>
  <si>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</si>
  <si>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</si>
  <si>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</si>
  <si>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</si>
  <si>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</si>
  <si>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</si>
  <si>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</si>
  <si>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</si>
  <si>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</si>
  <si>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</si>
  <si>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</si>
  <si>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</si>
  <si>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</si>
  <si>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</si>
  <si>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</si>
  <si>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</si>
  <si>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</si>
  <si>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</si>
  <si>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</si>
  <si>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</si>
  <si>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</si>
  <si>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</si>
  <si>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</si>
  <si>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</si>
  <si>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</si>
  <si>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</si>
  <si>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</si>
  <si>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</si>
  <si>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</si>
  <si>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</si>
  <si>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</si>
  <si>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</si>
  <si>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</si>
  <si>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</si>
  <si>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</si>
  <si>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</si>
  <si>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</si>
  <si>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</si>
  <si>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</si>
  <si>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</si>
  <si>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</si>
  <si>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</si>
  <si>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</si>
  <si>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</si>
  <si>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</si>
  <si>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</si>
  <si>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</si>
  <si>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</si>
  <si>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</si>
  <si>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</si>
  <si>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</si>
  <si>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</si>
  <si>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</si>
  <si>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</si>
  <si>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</si>
  <si>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</si>
  <si>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</si>
  <si>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</si>
  <si>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</si>
  <si>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</si>
  <si>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</si>
  <si>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</si>
  <si>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</si>
  <si>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</si>
  <si>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</si>
  <si>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</si>
  <si>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</si>
  <si>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</si>
  <si>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</si>
  <si>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</si>
  <si>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</si>
  <si>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</si>
  <si>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</si>
  <si>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</si>
  <si>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</si>
  <si>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</si>
  <si>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</si>
  <si>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</si>
  <si>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</si>
  <si>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</si>
  <si>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</si>
  <si>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</si>
  <si>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</si>
  <si>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</si>
  <si>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</si>
  <si>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</si>
  <si>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</si>
  <si>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</si>
  <si>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</si>
  <si>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</si>
  <si>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</si>
  <si>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</si>
  <si>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</si>
  <si>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</si>
  <si>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</si>
  <si>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</si>
  <si>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</si>
  <si>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</si>
  <si>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</si>
  <si>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</si>
  <si>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</si>
  <si>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</si>
  <si>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</si>
  <si>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</si>
  <si>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</si>
  <si>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</si>
  <si>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</si>
  <si>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</si>
  <si>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</si>
  <si>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</si>
  <si>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</si>
  <si>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</si>
  <si>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</si>
  <si>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</si>
  <si>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</si>
  <si>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</si>
  <si>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</si>
  <si>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</si>
  <si>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</si>
  <si>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</si>
  <si>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</si>
  <si>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</si>
  <si>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</si>
  <si>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</si>
  <si>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</si>
  <si>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</si>
  <si>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</si>
  <si>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</si>
  <si>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</si>
  <si>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</si>
  <si>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</si>
  <si>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</si>
  <si>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</si>
  <si>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</si>
  <si>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</si>
  <si>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</si>
  <si>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</si>
  <si>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</si>
  <si>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</si>
  <si>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</si>
  <si>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</si>
  <si>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</si>
  <si>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</si>
  <si>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</si>
  <si>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</si>
  <si>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</si>
  <si>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</si>
  <si>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</si>
  <si>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</si>
  <si>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</si>
  <si>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</si>
  <si>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</si>
  <si>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</si>
  <si>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</si>
  <si>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</si>
  <si>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</si>
  <si>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</si>
  <si>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</si>
  <si>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</si>
  <si>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</si>
  <si>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</si>
  <si>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</si>
  <si>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</si>
  <si>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</si>
  <si>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</si>
  <si>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</si>
  <si>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</si>
  <si>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</si>
  <si>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</si>
  <si>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</si>
  <si>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</si>
  <si>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</si>
  <si>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</si>
  <si>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</si>
  <si>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</si>
  <si>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</si>
  <si>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</si>
  <si>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</si>
  <si>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</si>
  <si>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</si>
  <si>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</si>
  <si>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</si>
  <si>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</si>
  <si>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</si>
  <si>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</si>
  <si>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</si>
  <si>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</si>
  <si>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</si>
  <si>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</si>
  <si>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</si>
  <si>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</si>
  <si>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</si>
  <si>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</si>
  <si>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</si>
  <si>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</si>
  <si>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</si>
  <si>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</si>
  <si>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</si>
  <si>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</si>
  <si>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</si>
  <si>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</si>
  <si>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</si>
  <si>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</si>
  <si>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</si>
  <si>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</si>
  <si>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</si>
  <si>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</si>
  <si>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</si>
  <si>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</si>
  <si>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</si>
  <si>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</si>
  <si>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</si>
  <si>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</si>
  <si>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</si>
  <si>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</si>
  <si>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</si>
  <si>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</si>
  <si>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</si>
  <si>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</si>
  <si>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</si>
  <si>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</si>
  <si>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</si>
  <si>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</si>
  <si>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</si>
  <si>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</si>
  <si>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</si>
  <si>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</si>
  <si>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</si>
  <si>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</si>
  <si>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</si>
  <si>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</si>
  <si>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</si>
  <si>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</si>
  <si>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</si>
  <si>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</si>
  <si>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</si>
  <si>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</si>
  <si>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</si>
  <si>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</si>
  <si>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</si>
  <si>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</si>
  <si>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</si>
  <si>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</si>
  <si>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</si>
  <si>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</si>
  <si>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</si>
  <si>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</si>
  <si>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</si>
  <si>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</si>
  <si>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</si>
  <si>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</si>
  <si>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</si>
  <si>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</si>
  <si>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</si>
  <si>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</si>
  <si>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</si>
  <si>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</si>
  <si>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</si>
  <si>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</si>
  <si>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</si>
  <si>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</si>
  <si>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</si>
  <si>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</si>
  <si>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</si>
  <si>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</si>
  <si>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</si>
  <si>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</si>
  <si>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</si>
  <si>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</si>
  <si>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</si>
  <si>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</si>
  <si>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</si>
  <si>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</si>
  <si>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</si>
  <si>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</si>
  <si>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</si>
  <si>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</si>
  <si>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</si>
  <si>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</si>
  <si>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</si>
  <si>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</si>
  <si>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</si>
  <si>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</si>
  <si>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</si>
  <si>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</si>
  <si>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</si>
  <si>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</si>
  <si>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</si>
  <si>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</si>
  <si>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</si>
  <si>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</si>
  <si>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</si>
  <si>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</si>
  <si>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</si>
  <si>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</si>
  <si>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</si>
  <si>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</si>
  <si>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</si>
  <si>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</si>
  <si>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</si>
  <si>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</si>
  <si>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</si>
  <si>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</si>
  <si>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</si>
  <si>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</si>
  <si>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</si>
  <si>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</si>
  <si>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</si>
  <si>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</si>
  <si>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</si>
  <si>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</si>
  <si>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</si>
  <si>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</si>
  <si>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</si>
  <si>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</si>
  <si>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</si>
  <si>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</si>
  <si>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</si>
  <si>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</si>
  <si>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</si>
  <si>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</si>
  <si>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</si>
  <si>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</si>
  <si>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</si>
  <si>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</si>
  <si>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</si>
  <si>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</si>
  <si>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</si>
  <si>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</si>
  <si>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</si>
  <si>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</si>
  <si>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</si>
  <si>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</si>
  <si>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</si>
  <si>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</si>
  <si>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</si>
  <si>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</si>
  <si>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</si>
  <si>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</si>
  <si>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</si>
  <si>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</si>
  <si>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</si>
  <si>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</si>
  <si>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</si>
  <si>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</si>
  <si>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</si>
  <si>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</si>
  <si>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</si>
  <si>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</si>
  <si>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</si>
  <si>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</si>
  <si>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</si>
  <si>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</si>
  <si>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</si>
  <si>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</si>
  <si>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</si>
  <si>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</si>
  <si>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</si>
  <si>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</si>
  <si>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</si>
  <si>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</si>
  <si>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</si>
  <si>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</si>
  <si>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</si>
  <si>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</si>
  <si>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</si>
  <si>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</si>
  <si>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</si>
  <si>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</si>
  <si>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</si>
  <si>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</si>
  <si>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</si>
  <si>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</si>
  <si>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</si>
  <si>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</si>
  <si>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</si>
  <si>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</si>
  <si>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</si>
  <si>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</si>
  <si>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</si>
  <si>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</si>
  <si>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</si>
  <si>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</si>
  <si>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</si>
  <si>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</si>
  <si>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</si>
  <si>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</si>
  <si>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</si>
  <si>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</si>
  <si>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</si>
  <si>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</si>
  <si>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</si>
  <si>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</si>
  <si>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</si>
  <si>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</si>
  <si>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</si>
  <si>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</si>
  <si>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</si>
  <si>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</si>
  <si>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</si>
  <si>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</si>
  <si>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</si>
  <si>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</si>
  <si>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</si>
  <si>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</si>
  <si>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</si>
  <si>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</si>
  <si>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</si>
  <si>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</si>
  <si>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</si>
  <si>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</si>
  <si>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</si>
  <si>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</si>
  <si>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</si>
  <si>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</si>
  <si>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</si>
  <si>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</si>
  <si>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</si>
  <si>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</si>
  <si>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</si>
  <si>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</si>
  <si>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</si>
  <si>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</si>
  <si>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</si>
  <si>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</si>
  <si>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</si>
  <si>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</si>
  <si>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</si>
  <si>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</si>
  <si>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</si>
  <si>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</si>
  <si>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</si>
  <si>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</si>
  <si>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</si>
  <si>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</si>
  <si>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</si>
  <si>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</si>
  <si>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</si>
  <si>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</si>
  <si>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</si>
  <si>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</si>
  <si>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</si>
  <si>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</si>
  <si>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</si>
  <si>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</si>
  <si>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</si>
  <si>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</si>
  <si>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</si>
  <si>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</si>
  <si>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</si>
  <si>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</si>
  <si>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</si>
  <si>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</si>
  <si>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</si>
  <si>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</si>
  <si>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</si>
  <si>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</si>
  <si>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</si>
  <si>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</si>
  <si>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</si>
  <si>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</si>
  <si>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</si>
  <si>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</si>
  <si>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</si>
  <si>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</si>
  <si>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</si>
  <si>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</si>
  <si>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</si>
  <si>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</si>
  <si>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</si>
  <si>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</si>
  <si>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</si>
  <si>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</si>
  <si>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</si>
  <si>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</si>
  <si>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</si>
  <si>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</si>
  <si>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</si>
  <si>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</si>
  <si>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</si>
  <si>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</si>
  <si>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</si>
  <si>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</si>
  <si>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</si>
  <si>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</si>
  <si>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</si>
  <si>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</si>
  <si>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</si>
  <si>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</si>
  <si>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</si>
  <si>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</si>
  <si>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</si>
  <si>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</si>
  <si>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</si>
  <si>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</si>
  <si>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</si>
  <si>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</si>
  <si>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</si>
  <si>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</si>
  <si>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</si>
  <si>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</si>
  <si>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</si>
  <si>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</si>
  <si>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</si>
  <si>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</si>
  <si>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</si>
  <si>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</si>
  <si>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</si>
  <si>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</si>
  <si>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</si>
  <si>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</si>
  <si>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</si>
  <si>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</si>
  <si>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</si>
  <si>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</si>
  <si>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</si>
  <si>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</si>
  <si>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</si>
  <si>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</si>
  <si>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</si>
  <si>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</si>
  <si>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</si>
  <si>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</si>
  <si>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</si>
  <si>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</si>
  <si>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</si>
  <si>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</si>
  <si>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</si>
  <si>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</si>
  <si>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</si>
  <si>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</si>
  <si>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</si>
  <si>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</si>
  <si>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</si>
  <si>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</si>
  <si>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</si>
  <si>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</si>
  <si>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</si>
  <si>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</si>
  <si>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</si>
  <si>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</si>
  <si>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</si>
  <si>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</si>
  <si>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</si>
  <si>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</si>
  <si>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</si>
  <si>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</si>
  <si>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</si>
  <si>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</si>
  <si>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</si>
  <si>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</si>
  <si>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</si>
  <si>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</si>
  <si>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</si>
  <si>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</si>
  <si>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</si>
  <si>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</si>
  <si>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</si>
  <si>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</si>
  <si>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</si>
  <si>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</si>
  <si>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</si>
  <si>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</si>
  <si>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</si>
  <si>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</si>
  <si>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</si>
  <si>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</si>
  <si>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</si>
  <si>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</si>
  <si>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</si>
  <si>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</si>
  <si>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</si>
  <si>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</si>
  <si>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</si>
  <si>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</si>
  <si>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</si>
  <si>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</si>
  <si>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</si>
  <si>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</si>
  <si>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</si>
  <si>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</si>
  <si>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</si>
  <si>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</si>
  <si>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</si>
  <si>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</si>
  <si>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</si>
  <si>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</si>
  <si>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</si>
  <si>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</si>
  <si>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</si>
  <si>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</si>
  <si>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</si>
  <si>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</si>
  <si>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</si>
  <si>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</si>
  <si>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</si>
  <si>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</si>
  <si>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</si>
  <si>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</si>
  <si>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</si>
  <si>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</si>
  <si>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</si>
  <si>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</si>
  <si>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</si>
  <si>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</si>
  <si>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</si>
  <si>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</si>
  <si>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</si>
  <si>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</si>
  <si>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</si>
  <si>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</si>
  <si>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</si>
  <si>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</si>
  <si>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</si>
  <si>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</si>
  <si>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</si>
  <si>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</si>
  <si>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</si>
  <si>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</si>
  <si>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</si>
  <si>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</si>
  <si>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</si>
  <si>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</si>
  <si>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</si>
  <si>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</si>
  <si>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</si>
  <si>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</si>
  <si>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</si>
  <si>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</si>
  <si>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</si>
  <si>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</si>
  <si>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</si>
  <si>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</si>
  <si>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</si>
  <si>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</si>
  <si>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</si>
  <si>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</si>
  <si>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</si>
  <si>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</si>
  <si>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</si>
  <si>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</si>
  <si>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</si>
  <si>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</si>
  <si>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</si>
  <si>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</si>
  <si>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</si>
  <si>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</si>
  <si>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</si>
  <si>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</si>
  <si>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</si>
  <si>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</si>
  <si>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</si>
  <si>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</si>
  <si>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</si>
  <si>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</si>
  <si>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</si>
  <si>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</si>
  <si>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</si>
  <si>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</si>
  <si>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</si>
  <si>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</si>
  <si>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</si>
  <si>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</si>
  <si>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</si>
  <si>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</si>
  <si>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</si>
  <si>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</si>
  <si>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</si>
  <si>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</si>
  <si>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</si>
  <si>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</si>
  <si>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</si>
  <si>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</si>
  <si>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</si>
  <si>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</si>
  <si>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</si>
  <si>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</si>
  <si>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</si>
  <si>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</si>
  <si>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</si>
  <si>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</si>
  <si>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</si>
  <si>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</si>
  <si>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</si>
  <si>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</si>
  <si>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</si>
  <si>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</si>
  <si>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</si>
  <si>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</si>
  <si>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</si>
  <si>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</si>
  <si>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</si>
  <si>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</si>
  <si>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</si>
  <si>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</si>
  <si>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</si>
  <si>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</si>
  <si>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</si>
  <si>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</si>
  <si>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</si>
  <si>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</si>
  <si>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</si>
  <si>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</si>
  <si>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</si>
  <si>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</si>
  <si>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</si>
  <si>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</si>
  <si>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</si>
  <si>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</si>
  <si>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</si>
  <si>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</si>
  <si>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</si>
  <si>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</si>
  <si>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</si>
  <si>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</si>
  <si>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</si>
  <si>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</si>
  <si>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</si>
  <si>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</si>
  <si>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</si>
  <si>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</si>
  <si>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</si>
  <si>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</si>
  <si>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</si>
  <si>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</si>
  <si>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</si>
  <si>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</si>
  <si>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</si>
  <si>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</si>
  <si>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</si>
  <si>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</si>
  <si>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</si>
  <si>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</si>
  <si>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</si>
  <si>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</si>
  <si>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</si>
  <si>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</si>
  <si>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</si>
  <si>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</si>
  <si>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</si>
  <si>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</si>
  <si>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</si>
  <si>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</si>
  <si>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</si>
  <si>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</si>
  <si>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</si>
  <si>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</si>
  <si>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</si>
  <si>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</si>
  <si>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</si>
  <si>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</si>
  <si>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</si>
  <si>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</si>
  <si>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</si>
  <si>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</si>
  <si>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</si>
  <si>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</si>
  <si>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</si>
  <si>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</si>
  <si>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</si>
  <si>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</si>
  <si>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</si>
  <si>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</si>
  <si>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</si>
  <si>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</si>
  <si>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</si>
  <si>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</si>
  <si>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</si>
  <si>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</si>
  <si>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</si>
  <si>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</si>
  <si>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</si>
  <si>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</si>
  <si>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</si>
  <si>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</si>
  <si>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</si>
  <si>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</si>
  <si>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</si>
  <si>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</si>
  <si>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</si>
  <si>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</si>
  <si>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</si>
  <si>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</si>
  <si>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</si>
  <si>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</si>
  <si>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</si>
  <si>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</si>
  <si>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</si>
  <si>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</si>
  <si>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</si>
  <si>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</si>
  <si>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</si>
  <si>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</si>
  <si>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</si>
  <si>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</si>
  <si>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</si>
  <si>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</si>
  <si>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</si>
  <si>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</si>
  <si>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</si>
  <si>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</si>
  <si>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</si>
  <si>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</si>
  <si>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</si>
  <si>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</si>
  <si>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</si>
  <si>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</si>
  <si>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</si>
  <si>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</si>
  <si>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</si>
  <si>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</si>
  <si>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</si>
  <si>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</si>
  <si>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</si>
  <si>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</si>
  <si>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</si>
  <si>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</si>
  <si>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</si>
  <si>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</si>
  <si>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</si>
  <si>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</si>
  <si>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</si>
  <si>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</si>
  <si>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</si>
  <si>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</si>
  <si>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</si>
  <si>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</si>
  <si>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</si>
  <si>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</si>
  <si>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</si>
  <si>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</si>
  <si>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</si>
  <si>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</si>
  <si>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</si>
  <si>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</si>
  <si>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</si>
  <si>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</si>
  <si>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</si>
  <si>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</si>
  <si>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</si>
  <si>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</si>
  <si>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</si>
  <si>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</si>
  <si>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</si>
  <si>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</si>
  <si>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</si>
  <si>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</si>
  <si>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</si>
  <si>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</si>
  <si>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</si>
  <si>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</si>
  <si>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</si>
  <si>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</si>
  <si>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</si>
  <si>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</si>
  <si>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</si>
  <si>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</si>
  <si>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</si>
  <si>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</si>
  <si>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</si>
  <si>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</si>
  <si>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</si>
  <si>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</si>
  <si>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</si>
  <si>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</si>
  <si>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</si>
  <si>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</si>
  <si>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</si>
  <si>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</si>
  <si>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</si>
  <si>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</si>
  <si>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</si>
  <si>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</si>
  <si>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</si>
  <si>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</si>
  <si>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</si>
  <si>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</si>
  <si>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</si>
  <si>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</si>
  <si>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</si>
  <si>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</si>
  <si>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</si>
  <si>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</si>
  <si>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</si>
  <si>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</si>
  <si>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</si>
  <si>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</si>
  <si>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</si>
  <si>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</si>
  <si>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</si>
  <si>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</si>
  <si>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</si>
  <si>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</si>
  <si>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</si>
  <si>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</si>
  <si>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</si>
  <si>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</si>
  <si>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</si>
  <si>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</si>
  <si>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</si>
  <si>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</si>
  <si>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</si>
  <si>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</si>
  <si>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</si>
  <si>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</si>
  <si>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</si>
  <si>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</si>
  <si>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</si>
  <si>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</si>
  <si>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</si>
  <si>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</si>
  <si>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</si>
  <si>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</si>
  <si>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</si>
  <si>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</si>
  <si>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</si>
  <si>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</si>
  <si>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</si>
  <si>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</si>
  <si>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</si>
  <si>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</si>
  <si>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</si>
  <si>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</si>
  <si>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</si>
  <si>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</si>
  <si>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</si>
  <si>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</si>
  <si>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</si>
  <si>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</si>
  <si>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</si>
  <si>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</si>
  <si>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</si>
  <si>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</si>
  <si>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</si>
  <si>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</si>
  <si>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</si>
  <si>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</si>
  <si>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</si>
  <si>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</si>
  <si>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</si>
  <si>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</si>
  <si>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</si>
  <si>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</si>
  <si>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</si>
  <si>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</si>
  <si>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</si>
  <si>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</si>
  <si>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</si>
  <si>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</si>
  <si>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</si>
  <si>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</si>
  <si>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</si>
  <si>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</si>
  <si>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</si>
  <si>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</si>
  <si>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</si>
  <si>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</si>
  <si>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</si>
  <si>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</si>
  <si>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</si>
  <si>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</si>
  <si>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</si>
  <si>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</si>
  <si>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</si>
  <si>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</si>
  <si>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</si>
  <si>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</si>
  <si>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</si>
  <si>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</si>
  <si>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</si>
  <si>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</si>
  <si>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</si>
  <si>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</si>
  <si>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</si>
  <si>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</si>
  <si>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</si>
  <si>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</si>
  <si>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</si>
  <si>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</si>
  <si>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</si>
  <si>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</si>
  <si>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</si>
  <si>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</si>
  <si>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</si>
  <si>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</si>
  <si>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</si>
  <si>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</si>
  <si>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</si>
  <si>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</si>
  <si>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</si>
  <si>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</si>
  <si>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</si>
  <si>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</si>
  <si>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</si>
  <si>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</si>
  <si>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</si>
  <si>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</si>
  <si>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</si>
  <si>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</si>
  <si>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</si>
  <si>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</si>
  <si>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</si>
  <si>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</si>
  <si>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</si>
  <si>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</si>
  <si>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</si>
  <si>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</si>
  <si>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</si>
  <si>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</si>
  <si>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</si>
  <si>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</si>
  <si>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</si>
  <si>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</si>
  <si>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</si>
  <si>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</si>
  <si>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</si>
  <si>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</si>
  <si>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</si>
  <si>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</si>
  <si>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</si>
  <si>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</si>
  <si>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</si>
  <si>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</si>
  <si>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</si>
  <si>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</si>
  <si>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</si>
  <si>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</si>
  <si>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</si>
  <si>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</si>
  <si>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</si>
  <si>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</si>
  <si>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</si>
  <si>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</si>
  <si>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</si>
  <si>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</si>
  <si>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</si>
  <si>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</si>
  <si>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</si>
  <si>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</si>
  <si>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</si>
  <si>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</si>
  <si>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</si>
  <si>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</si>
  <si>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</si>
  <si>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</si>
  <si>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</si>
  <si>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</si>
  <si>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</si>
  <si>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</si>
  <si>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</si>
  <si>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</si>
  <si>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</si>
  <si>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</si>
  <si>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</si>
  <si>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</si>
  <si>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</si>
  <si>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</si>
  <si>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</si>
  <si>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</si>
  <si>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</si>
  <si>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</si>
  <si>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</si>
  <si>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</si>
  <si>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</si>
  <si>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</si>
  <si>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</si>
  <si>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</si>
  <si>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</si>
  <si>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</si>
  <si>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</si>
  <si>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</si>
  <si>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</si>
  <si>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</si>
  <si>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</si>
  <si>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</si>
  <si>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</si>
  <si>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</si>
  <si>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</si>
  <si>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</si>
  <si>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</si>
  <si>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</si>
  <si>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</si>
  <si>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</si>
  <si>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</si>
  <si>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</si>
  <si>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</si>
  <si>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</si>
  <si>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</si>
  <si>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</si>
  <si>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</si>
  <si>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</si>
  <si>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</si>
  <si>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</si>
  <si>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</si>
  <si>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</si>
  <si>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</si>
  <si>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</si>
  <si>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</si>
  <si>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</si>
  <si>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</si>
  <si>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</si>
  <si>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</si>
  <si>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</si>
  <si>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</si>
  <si>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</si>
  <si>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</si>
  <si>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</si>
  <si>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</si>
  <si>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</si>
  <si>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</si>
  <si>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</si>
  <si>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</si>
  <si>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</si>
  <si>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</si>
  <si>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</si>
  <si>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</si>
  <si>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</si>
  <si>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</si>
  <si>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</si>
  <si>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</si>
  <si>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</si>
  <si>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</si>
  <si>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</si>
  <si>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</si>
  <si>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</si>
  <si>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</si>
  <si>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</si>
  <si>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</si>
  <si>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</si>
  <si>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</si>
  <si>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</si>
  <si>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</si>
  <si>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</si>
  <si>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</si>
  <si>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</si>
  <si>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</si>
  <si>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</si>
  <si>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</si>
  <si>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</si>
  <si>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</si>
  <si>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</si>
  <si>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</si>
  <si>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</si>
  <si>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</si>
  <si>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</si>
  <si>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</si>
  <si>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</si>
  <si>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</si>
  <si>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</si>
  <si>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</si>
  <si>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</si>
  <si>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</si>
  <si>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</si>
  <si>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</si>
  <si>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</si>
  <si>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</si>
  <si>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</si>
  <si>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</si>
  <si>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</si>
  <si>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</si>
  <si>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</si>
  <si>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</si>
  <si>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</si>
  <si>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</si>
  <si>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</si>
  <si>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</si>
  <si>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</si>
  <si>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</si>
  <si>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</si>
  <si>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</si>
  <si>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</si>
  <si>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</si>
  <si>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</si>
  <si>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</si>
  <si>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</si>
  <si>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</si>
  <si>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</si>
  <si>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</si>
  <si>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</si>
  <si>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</si>
  <si>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</si>
  <si>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</si>
  <si>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</si>
  <si>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</si>
  <si>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</si>
  <si>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</si>
  <si>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</si>
  <si>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</si>
  <si>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</si>
  <si>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</si>
  <si>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</si>
  <si>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</si>
  <si>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</si>
  <si>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</si>
  <si>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</si>
  <si>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</si>
  <si>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</si>
  <si>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</si>
  <si>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</si>
  <si>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</si>
  <si>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</si>
  <si>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</si>
  <si>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</si>
  <si>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</si>
  <si>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</si>
  <si>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</si>
  <si>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</si>
  <si>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</si>
  <si>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</si>
  <si>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</si>
  <si>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</si>
  <si>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</si>
  <si>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</si>
  <si>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</si>
  <si>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</si>
  <si>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</si>
  <si>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</si>
  <si>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</si>
  <si>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</si>
  <si>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</si>
  <si>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</si>
  <si>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</si>
  <si>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</si>
  <si>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</si>
  <si>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</si>
  <si>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</si>
  <si>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</si>
  <si>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</si>
  <si>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</si>
  <si>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</si>
  <si>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</si>
  <si>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</si>
  <si>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</si>
  <si>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</si>
  <si>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</si>
  <si>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</si>
  <si>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</si>
  <si>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</si>
  <si>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</si>
  <si>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</si>
  <si>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</si>
  <si>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</si>
  <si>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</si>
  <si>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</si>
  <si>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</si>
  <si>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</si>
  <si>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</si>
  <si>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</si>
  <si>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</si>
  <si>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</si>
  <si>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</si>
  <si>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</si>
  <si>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</si>
  <si>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</si>
  <si>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</si>
  <si>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</si>
  <si>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</si>
  <si>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</si>
  <si>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</si>
  <si>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</si>
  <si>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</si>
  <si>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</si>
  <si>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</si>
  <si>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</si>
  <si>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</si>
  <si>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</si>
  <si>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</si>
  <si>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</si>
  <si>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</si>
  <si>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</si>
  <si>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</si>
  <si>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</si>
  <si>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</si>
  <si>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</si>
  <si>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</si>
  <si>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</si>
  <si>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</si>
  <si>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</si>
  <si>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</si>
  <si>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</si>
  <si>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</si>
  <si>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</si>
  <si>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</si>
  <si>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</si>
  <si>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</si>
  <si>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</si>
  <si>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</si>
  <si>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</si>
  <si>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</si>
  <si>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</si>
  <si>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</si>
  <si>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</si>
  <si>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</si>
  <si>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</si>
  <si>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</si>
  <si>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</si>
  <si>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</si>
  <si>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</si>
  <si>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</si>
  <si>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</si>
  <si>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</si>
  <si>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</si>
  <si>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</si>
  <si>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</si>
  <si>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</si>
  <si>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</si>
  <si>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</si>
  <si>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</si>
  <si>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</si>
  <si>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</si>
  <si>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</si>
  <si>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</si>
  <si>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</si>
  <si>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</si>
  <si>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</si>
  <si>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</si>
  <si>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</si>
  <si>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</si>
  <si>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</si>
  <si>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</si>
  <si>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</si>
  <si>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</si>
  <si>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</si>
  <si>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</si>
  <si>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</si>
  <si>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</si>
  <si>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</si>
  <si>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</si>
  <si>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</si>
  <si>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</si>
  <si>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</si>
  <si>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</si>
  <si>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</si>
  <si>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</si>
  <si>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</si>
  <si>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</si>
  <si>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</si>
  <si>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</si>
  <si>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</si>
  <si>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</si>
  <si>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</si>
  <si>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</si>
  <si>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</si>
  <si>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</si>
  <si>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</si>
  <si>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</si>
  <si>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</si>
  <si>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</si>
  <si>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</si>
  <si>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</si>
  <si>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</si>
  <si>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</si>
  <si>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</si>
  <si>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</si>
  <si>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</si>
  <si>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</si>
  <si>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</si>
  <si>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</si>
  <si>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</si>
  <si>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</si>
  <si>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</si>
  <si>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</si>
  <si>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</si>
  <si>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</si>
  <si>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</si>
  <si>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</si>
  <si>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</si>
  <si>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</si>
  <si>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</si>
  <si>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</si>
  <si>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</si>
  <si>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</si>
  <si>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</si>
  <si>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</si>
  <si>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</si>
  <si>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</si>
  <si>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</si>
  <si>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</si>
  <si>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</si>
  <si>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</si>
  <si>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</si>
  <si>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</si>
  <si>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</si>
  <si>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</si>
  <si>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</si>
  <si>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</si>
  <si>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</si>
  <si>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</si>
  <si>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</si>
  <si>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</si>
  <si>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</si>
  <si>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</si>
  <si>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</si>
  <si>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</si>
  <si>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</si>
  <si>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</si>
  <si>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</si>
  <si>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</si>
  <si>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</si>
  <si>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</si>
  <si>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</si>
  <si>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</si>
  <si>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</si>
  <si>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</si>
  <si>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</si>
  <si>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</si>
  <si>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</si>
  <si>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</si>
  <si>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</si>
  <si>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</si>
  <si>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</si>
  <si>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</si>
  <si>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</si>
  <si>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</si>
  <si>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</si>
  <si>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</si>
  <si>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</si>
  <si>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</si>
  <si>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</si>
  <si>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</si>
  <si>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</si>
  <si>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</si>
  <si>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</si>
  <si>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</si>
  <si>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</si>
  <si>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</si>
  <si>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</si>
  <si>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</si>
  <si>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</si>
  <si>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</si>
  <si>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</si>
  <si>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</si>
  <si>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</si>
  <si>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</si>
  <si>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</si>
  <si>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</si>
  <si>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</si>
  <si>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</si>
  <si>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</si>
  <si>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</si>
  <si>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</si>
  <si>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</si>
  <si>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</si>
  <si>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</si>
  <si>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</si>
  <si>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</si>
  <si>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</si>
  <si>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</si>
  <si>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</si>
  <si>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</si>
  <si>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</si>
  <si>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</si>
  <si>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</si>
  <si>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</si>
  <si>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</si>
  <si>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</si>
  <si>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</si>
  <si>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</si>
  <si>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</si>
  <si>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</si>
  <si>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</si>
  <si>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</si>
  <si>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</si>
  <si>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</si>
  <si>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</si>
  <si>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</si>
  <si>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</si>
  <si>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</si>
  <si>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</si>
  <si>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</si>
  <si>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</si>
  <si>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</si>
  <si>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</si>
  <si>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</si>
  <si>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</si>
  <si>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</si>
  <si>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</si>
  <si>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</si>
  <si>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</si>
  <si>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</si>
  <si>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</si>
  <si>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</si>
  <si>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</si>
  <si>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</si>
  <si>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</si>
  <si>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</si>
  <si>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</si>
  <si>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</si>
  <si>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</si>
  <si>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</si>
  <si>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</si>
  <si>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</si>
  <si>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</si>
  <si>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</si>
  <si>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</si>
  <si>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</si>
  <si>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</si>
  <si>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</si>
  <si>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</si>
  <si>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</si>
  <si>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</si>
  <si>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</si>
  <si>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</si>
  <si>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</si>
  <si>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</si>
  <si>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</si>
  <si>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</si>
  <si>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</si>
  <si>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</si>
  <si>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</si>
  <si>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</si>
  <si>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</si>
  <si>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</si>
  <si>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</si>
  <si>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</si>
  <si>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</si>
  <si>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</si>
  <si>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</si>
  <si>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</si>
  <si>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</si>
  <si>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</si>
  <si>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</si>
  <si>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</si>
  <si>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</si>
  <si>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</si>
  <si>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</si>
  <si>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</si>
  <si>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</si>
  <si>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</si>
  <si>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</si>
  <si>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</si>
  <si>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</si>
  <si>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</si>
  <si>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</si>
  <si>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</si>
  <si>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</si>
  <si>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</si>
  <si>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</si>
  <si>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</si>
  <si>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</si>
  <si>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</si>
  <si>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</si>
  <si>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</si>
  <si>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</si>
  <si>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</si>
  <si>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</si>
  <si>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</si>
  <si>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</si>
  <si>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</si>
  <si>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</si>
  <si>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</si>
  <si>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</si>
  <si>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</si>
  <si>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</si>
  <si>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</si>
  <si>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</si>
  <si>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</si>
  <si>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</si>
  <si>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</si>
  <si>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</si>
  <si>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</si>
  <si>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</si>
  <si>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</si>
  <si>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</si>
  <si>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</si>
  <si>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</si>
  <si>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</si>
  <si>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</si>
  <si>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</si>
  <si>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</si>
  <si>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</si>
  <si>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</si>
  <si>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</si>
  <si>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</si>
  <si>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</si>
  <si>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</si>
  <si>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</si>
  <si>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</si>
  <si>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</si>
  <si>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</si>
  <si>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</si>
  <si>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</si>
  <si>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</si>
  <si>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</si>
  <si>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</si>
  <si>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</si>
  <si>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</si>
  <si>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</si>
  <si>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</si>
  <si>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</si>
  <si>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</si>
  <si>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</si>
  <si>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</si>
  <si>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</si>
  <si>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</si>
  <si>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</si>
  <si>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</si>
  <si>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</si>
  <si>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</si>
  <si>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</si>
  <si>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</si>
  <si>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</si>
  <si>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</si>
  <si>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</si>
  <si>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</si>
  <si>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</si>
  <si>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</si>
  <si>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</si>
  <si>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</si>
  <si>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</si>
  <si>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</si>
  <si>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</si>
  <si>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</si>
  <si>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</si>
  <si>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</si>
  <si>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</si>
  <si>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</si>
  <si>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</si>
  <si>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</si>
  <si>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</si>
  <si>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</si>
  <si>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</si>
  <si>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</si>
  <si>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</si>
  <si>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</si>
  <si>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</si>
  <si>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</si>
  <si>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</si>
  <si>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</si>
  <si>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</si>
  <si>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</si>
  <si>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</si>
  <si>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</si>
  <si>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</si>
  <si>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</si>
  <si>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</si>
  <si>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</si>
  <si>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</si>
  <si>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</si>
  <si>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</si>
  <si>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</si>
  <si>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</si>
  <si>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</si>
  <si>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</si>
  <si>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</si>
  <si>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</si>
  <si>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</si>
  <si>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</si>
  <si>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</si>
  <si>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</si>
  <si>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</si>
  <si>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</si>
  <si>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</si>
  <si>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</si>
  <si>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</si>
  <si>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</si>
  <si>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</si>
  <si>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</si>
  <si>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</si>
  <si>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</si>
  <si>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</si>
  <si>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</si>
  <si>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</si>
  <si>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</si>
  <si>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</si>
  <si>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</si>
  <si>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</si>
  <si>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</si>
  <si>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</si>
  <si>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</si>
  <si>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</si>
  <si>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</si>
  <si>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</si>
  <si>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</si>
  <si>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</si>
  <si>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</si>
  <si>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</si>
  <si>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</si>
  <si>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</si>
  <si>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</si>
  <si>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</si>
  <si>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</si>
  <si>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</si>
  <si>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</si>
  <si>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</si>
  <si>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</si>
  <si>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</si>
  <si>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</si>
  <si>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</si>
  <si>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</si>
  <si>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</si>
  <si>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</si>
  <si>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</si>
  <si>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</si>
  <si>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</si>
  <si>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</si>
  <si>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</si>
  <si>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</si>
  <si>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</si>
  <si>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</si>
  <si>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</si>
  <si>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</si>
  <si>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</si>
  <si>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</si>
  <si>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</si>
  <si>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</si>
  <si>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</si>
  <si>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</si>
  <si>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</si>
  <si>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</si>
  <si>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</si>
  <si>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</si>
  <si>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</si>
  <si>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</si>
  <si>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</si>
  <si>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</si>
  <si>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</si>
  <si>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</si>
  <si>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</si>
  <si>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</si>
  <si>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</si>
  <si>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</si>
  <si>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</si>
  <si>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</si>
  <si>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</si>
  <si>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</si>
  <si>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</si>
  <si>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</si>
  <si>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</si>
  <si>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</si>
  <si>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</si>
  <si>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</si>
  <si>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</si>
  <si>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</si>
  <si>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</si>
  <si>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</si>
  <si>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</si>
  <si>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</si>
  <si>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</si>
  <si>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</si>
  <si>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</si>
  <si>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</si>
  <si>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</si>
  <si>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</si>
  <si>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</si>
  <si>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</si>
  <si>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</si>
  <si>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</si>
  <si>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</si>
  <si>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</si>
  <si>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</si>
  <si>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</si>
  <si>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</si>
  <si>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</si>
  <si>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</si>
  <si>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</si>
  <si>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</si>
  <si>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</si>
  <si>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</si>
  <si>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</si>
  <si>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</si>
  <si>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</si>
  <si>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</si>
  <si>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</si>
  <si>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</si>
  <si>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</si>
  <si>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</si>
  <si>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</si>
  <si>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</si>
  <si>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</si>
  <si>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</si>
  <si>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</si>
  <si>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</si>
  <si>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</si>
  <si>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</si>
  <si>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</si>
  <si>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</si>
  <si>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</si>
  <si>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</si>
  <si>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</si>
  <si>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</si>
  <si>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</si>
  <si>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</si>
  <si>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</si>
  <si>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</si>
  <si>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</si>
  <si>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</si>
  <si>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</si>
  <si>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</si>
  <si>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</si>
  <si>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</si>
  <si>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</si>
  <si>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</si>
  <si>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</si>
  <si>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</si>
  <si>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</si>
  <si>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</si>
  <si>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</si>
  <si>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</si>
  <si>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</si>
  <si>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</si>
  <si>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</si>
  <si>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</si>
  <si>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</si>
  <si>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</si>
  <si>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</si>
  <si>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</si>
  <si>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</si>
  <si>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</si>
  <si>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</si>
  <si>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</si>
  <si>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</si>
  <si>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</si>
  <si>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</si>
  <si>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</si>
  <si>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</si>
  <si>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</si>
  <si>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</si>
  <si>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</si>
  <si>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</si>
  <si>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</si>
  <si>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</si>
  <si>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</si>
  <si>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</si>
  <si>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</si>
  <si>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</si>
  <si>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</si>
  <si>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</si>
  <si>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</si>
  <si>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</si>
  <si>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</si>
  <si>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</si>
  <si>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</si>
  <si>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</si>
  <si>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</si>
  <si>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</si>
  <si>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</si>
  <si>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</si>
  <si>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</si>
  <si>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</si>
  <si>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</si>
  <si>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</si>
  <si>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</si>
  <si>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</si>
  <si>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</si>
  <si>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</si>
  <si>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</si>
  <si>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</si>
  <si>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</si>
  <si>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</si>
  <si>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</si>
  <si>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</si>
  <si>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</si>
  <si>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</si>
  <si>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</si>
  <si>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</si>
  <si>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</si>
  <si>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</si>
  <si>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</si>
  <si>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</si>
  <si>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</si>
  <si>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</si>
  <si>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</si>
  <si>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</si>
  <si>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</si>
  <si>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</si>
  <si>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</si>
  <si>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</si>
  <si>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</si>
  <si>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</si>
  <si>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</si>
  <si>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</si>
  <si>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</si>
  <si>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</si>
  <si>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</si>
  <si>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</si>
  <si>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</si>
  <si>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</si>
  <si>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</si>
  <si>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</si>
  <si>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</si>
  <si>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</si>
  <si>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</si>
  <si>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</si>
  <si>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</si>
  <si>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</si>
  <si>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</si>
  <si>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</si>
  <si>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</si>
  <si>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</si>
  <si>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</si>
  <si>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</si>
  <si>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</si>
  <si>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</si>
  <si>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</si>
  <si>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</si>
  <si>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</si>
  <si>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</si>
  <si>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</si>
  <si>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</si>
  <si>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</si>
  <si>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</si>
  <si>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</si>
  <si>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</si>
  <si>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</si>
  <si>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</si>
  <si>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</si>
  <si>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</si>
  <si>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</si>
  <si>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</si>
  <si>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</si>
  <si>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</si>
  <si>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</si>
  <si>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</si>
  <si>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</si>
  <si>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</si>
  <si>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</si>
  <si>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</si>
  <si>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</si>
  <si>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</si>
  <si>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</si>
  <si>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</si>
  <si>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</si>
  <si>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</si>
  <si>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</si>
  <si>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</si>
  <si>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</si>
  <si>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</si>
  <si>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</si>
  <si>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</si>
  <si>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</si>
  <si>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</si>
  <si>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</si>
  <si>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</si>
  <si>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</si>
  <si>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</si>
  <si>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</si>
  <si>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</si>
  <si>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</si>
  <si>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</si>
  <si>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</si>
  <si>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</si>
  <si>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</si>
  <si>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</si>
  <si>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</si>
  <si>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</si>
  <si>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</si>
  <si>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</si>
  <si>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</si>
  <si>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</si>
  <si>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</si>
  <si>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</si>
  <si>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</si>
  <si>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</si>
  <si>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</si>
  <si>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</si>
  <si>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</si>
  <si>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</si>
  <si>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</si>
  <si>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</si>
  <si>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</si>
  <si>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</si>
  <si>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</si>
  <si>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</si>
  <si>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</si>
  <si>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</si>
  <si>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</si>
  <si>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</si>
  <si>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</si>
  <si>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</si>
  <si>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</si>
  <si>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</si>
  <si>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</si>
  <si>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</si>
  <si>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</si>
  <si>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</si>
  <si>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</si>
  <si>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</si>
  <si>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</si>
  <si>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</si>
  <si>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</si>
  <si>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</si>
  <si>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</si>
  <si>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</si>
  <si>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</si>
  <si>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</si>
  <si>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</si>
  <si>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</si>
  <si>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</si>
  <si>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</si>
  <si>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</si>
  <si>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</si>
  <si>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</si>
  <si>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</si>
  <si>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</si>
  <si>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</si>
  <si>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</si>
  <si>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</si>
  <si>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</si>
  <si>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</si>
  <si>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</si>
  <si>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</si>
  <si>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</si>
  <si>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</si>
  <si>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</si>
  <si>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</si>
  <si>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</si>
  <si>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</si>
  <si>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</si>
  <si>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</si>
  <si>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</si>
  <si>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</si>
  <si>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</si>
  <si>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</si>
  <si>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</si>
  <si>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</si>
  <si>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</si>
  <si>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</si>
  <si>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</si>
  <si>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</si>
  <si>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</si>
  <si>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</si>
  <si>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</si>
  <si>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</si>
  <si>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</si>
  <si>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</si>
  <si>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</si>
  <si>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</si>
  <si>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</si>
  <si>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</si>
  <si>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</si>
  <si>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</si>
  <si>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</si>
  <si>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</si>
  <si>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</si>
  <si>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</si>
  <si>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</si>
  <si>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</si>
  <si>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</si>
  <si>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</si>
  <si>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</si>
  <si>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</si>
  <si>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</si>
  <si>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</si>
  <si>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</si>
  <si>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</si>
  <si>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</si>
  <si>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</si>
  <si>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</si>
  <si>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</si>
  <si>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</si>
  <si>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</si>
  <si>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</si>
  <si>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</si>
  <si>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</si>
  <si>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</si>
  <si>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</si>
  <si>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</si>
  <si>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</si>
  <si>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</si>
  <si>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</si>
  <si>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</si>
  <si>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</si>
  <si>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</si>
  <si>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</si>
  <si>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</si>
  <si>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</si>
  <si>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</si>
  <si>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</si>
  <si>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</si>
  <si>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</si>
  <si>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</si>
  <si>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</si>
  <si>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</si>
  <si>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</si>
  <si>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</si>
  <si>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</si>
  <si>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</si>
  <si>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</si>
  <si>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</si>
  <si>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</si>
  <si>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</si>
  <si>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</si>
  <si>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</si>
  <si>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</si>
  <si>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</si>
  <si>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</si>
  <si>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</si>
  <si>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</si>
  <si>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</si>
  <si>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</si>
  <si>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</si>
  <si>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</si>
  <si>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</si>
  <si>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</si>
  <si>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</si>
  <si>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</si>
  <si>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</si>
  <si>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</si>
  <si>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</si>
  <si>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</si>
  <si>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</si>
  <si>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</si>
  <si>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</si>
  <si>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</si>
  <si>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</si>
  <si>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</si>
  <si>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</si>
  <si>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</si>
  <si>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</si>
  <si>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</si>
  <si>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</si>
  <si>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</si>
  <si>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</si>
  <si>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</si>
  <si>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</si>
  <si>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</si>
  <si>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</si>
  <si>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</si>
  <si>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</si>
  <si>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</si>
  <si>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</si>
  <si>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</si>
  <si>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</si>
  <si>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</si>
  <si>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</si>
  <si>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</si>
  <si>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</si>
  <si>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</si>
  <si>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</si>
  <si>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</si>
  <si>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</si>
  <si>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</si>
  <si>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</si>
  <si>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</si>
  <si>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</si>
  <si>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</si>
  <si>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</si>
  <si>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</si>
  <si>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</si>
  <si>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</si>
  <si>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</si>
  <si>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</si>
  <si>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</si>
  <si>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</si>
  <si>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</si>
  <si>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</si>
  <si>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</si>
  <si>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</si>
  <si>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</si>
  <si>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</si>
  <si>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</si>
  <si>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</si>
  <si>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</si>
  <si>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</si>
  <si>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</si>
  <si>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</si>
  <si>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</si>
  <si>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</si>
  <si>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</si>
  <si>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</si>
  <si>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</si>
  <si>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</si>
  <si>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</si>
  <si>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</si>
  <si>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</si>
  <si>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</si>
  <si>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</si>
  <si>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</si>
  <si>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</si>
  <si>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</si>
  <si>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</si>
  <si>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</si>
  <si>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</si>
  <si>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</si>
  <si>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</si>
  <si>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</si>
  <si>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</si>
  <si>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</si>
  <si>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</si>
  <si>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</si>
  <si>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</si>
  <si>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</si>
  <si>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</si>
  <si>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</si>
  <si>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</si>
  <si>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</si>
  <si>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</si>
  <si>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</si>
  <si>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</si>
  <si>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</si>
  <si>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</si>
  <si>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</si>
  <si>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</si>
  <si>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</si>
  <si>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</si>
  <si>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</si>
  <si>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</si>
  <si>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</si>
  <si>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</si>
  <si>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</si>
  <si>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</si>
  <si>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</si>
  <si>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</si>
  <si>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</si>
  <si>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</si>
  <si>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</si>
  <si>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</si>
  <si>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</si>
  <si>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</si>
  <si>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</si>
  <si>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</si>
  <si>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</si>
  <si>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</si>
  <si>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</si>
  <si>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</si>
  <si>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</si>
  <si>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</si>
  <si>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</si>
  <si>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</si>
  <si>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</si>
  <si>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</si>
  <si>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</si>
  <si>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</si>
  <si>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</si>
  <si>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</si>
  <si>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</si>
  <si>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</si>
  <si>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</si>
  <si>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</si>
  <si>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</si>
  <si>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</si>
  <si>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</si>
  <si>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</si>
  <si>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</si>
  <si>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</si>
  <si>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</si>
  <si>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</si>
  <si>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</si>
  <si>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</si>
  <si>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</si>
  <si>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</si>
  <si>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</si>
  <si>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</si>
  <si>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</si>
  <si>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</si>
  <si>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</si>
  <si>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</si>
  <si>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</si>
  <si>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</si>
  <si>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</si>
  <si>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</si>
  <si>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</si>
  <si>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</si>
  <si>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</si>
  <si>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</si>
  <si>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</si>
  <si>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</si>
  <si>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</si>
  <si>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</si>
  <si>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</si>
  <si>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</si>
  <si>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</si>
  <si>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</si>
  <si>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</si>
  <si>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</si>
  <si>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</si>
  <si>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</si>
  <si>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</si>
  <si>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</si>
  <si>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</si>
  <si>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</si>
  <si>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</si>
  <si>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</si>
  <si>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</si>
  <si>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</si>
  <si>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</si>
  <si>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</si>
  <si>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</si>
  <si>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</si>
  <si>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</si>
  <si>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</si>
  <si>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</si>
  <si>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</si>
  <si>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</si>
  <si>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</si>
  <si>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</si>
  <si>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</si>
  <si>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</si>
  <si>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</si>
  <si>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</si>
  <si>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</si>
  <si>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</si>
  <si>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</si>
  <si>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</si>
  <si>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</si>
  <si>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</si>
  <si>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</si>
  <si>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</si>
  <si>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</si>
  <si>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</si>
  <si>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</si>
  <si>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</si>
  <si>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</si>
  <si>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</si>
  <si>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</si>
  <si>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</si>
  <si>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</si>
  <si>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</si>
  <si>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</si>
  <si>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</si>
  <si>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</si>
  <si>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</si>
  <si>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</si>
  <si>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</si>
  <si>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</si>
  <si>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</si>
  <si>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</si>
  <si>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</si>
  <si>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</si>
  <si>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</si>
  <si>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</si>
  <si>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</si>
  <si>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</si>
  <si>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</si>
  <si>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</si>
  <si>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</si>
  <si>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</si>
  <si>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</si>
  <si>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</si>
  <si>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</si>
  <si>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</si>
  <si>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</si>
  <si>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</si>
  <si>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</si>
  <si>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</si>
  <si>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</si>
  <si>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</si>
  <si>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</si>
  <si>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</si>
  <si>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</si>
  <si>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</si>
  <si>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</si>
  <si>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</si>
  <si>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</si>
  <si>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</si>
  <si>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</si>
  <si>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</si>
  <si>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</si>
  <si>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</si>
  <si>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</si>
  <si>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</si>
  <si>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</si>
  <si>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</si>
  <si>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</si>
  <si>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</si>
  <si>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</si>
  <si>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</si>
  <si>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</si>
  <si>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</si>
  <si>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</si>
  <si>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</si>
  <si>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</si>
  <si>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</si>
  <si>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</si>
  <si>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</si>
  <si>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</si>
  <si>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</si>
  <si>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</si>
  <si>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</si>
  <si>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</si>
  <si>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</si>
  <si>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</si>
  <si>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</si>
  <si>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</si>
  <si>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</si>
  <si>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</si>
  <si>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</si>
  <si>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</si>
  <si>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</si>
  <si>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</si>
  <si>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</si>
  <si>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</si>
  <si>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</si>
  <si>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</si>
  <si>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</si>
  <si>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</si>
  <si>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</si>
  <si>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</si>
  <si>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</si>
  <si>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</si>
  <si>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</si>
  <si>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</si>
  <si>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</si>
  <si>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</si>
  <si>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</si>
  <si>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</si>
  <si>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</si>
  <si>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</si>
  <si>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</si>
  <si>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</si>
  <si>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</si>
  <si>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</si>
  <si>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</si>
  <si>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</si>
  <si>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</si>
  <si>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</si>
  <si>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</si>
  <si>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</si>
  <si>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</si>
  <si>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</si>
  <si>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</si>
  <si>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</si>
  <si>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</si>
  <si>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</si>
  <si>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</si>
  <si>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</si>
  <si>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</si>
  <si>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</si>
  <si>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</si>
  <si>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</si>
  <si>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</si>
  <si>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</si>
  <si>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</si>
  <si>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</si>
  <si>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</si>
  <si>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</si>
  <si>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</si>
  <si>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</si>
  <si>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</si>
  <si>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</si>
  <si>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</si>
  <si>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</si>
  <si>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</si>
  <si>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</si>
  <si>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</si>
  <si>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</si>
  <si>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</si>
  <si>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</si>
  <si>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</si>
  <si>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</si>
  <si>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</si>
  <si>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</si>
  <si>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</si>
  <si>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</si>
  <si>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</si>
  <si>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</si>
  <si>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</si>
  <si>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</si>
  <si>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</si>
  <si>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</si>
  <si>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</si>
  <si>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</si>
  <si>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</si>
  <si>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</si>
  <si>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</si>
  <si>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</si>
  <si>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</si>
  <si>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</si>
  <si>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</si>
  <si>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</si>
  <si>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</si>
  <si>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</si>
  <si>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</si>
  <si>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</si>
  <si>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</si>
  <si>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</si>
  <si>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</si>
  <si>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</si>
  <si>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</si>
  <si>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</si>
  <si>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</si>
  <si>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</si>
  <si>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</si>
  <si>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</si>
  <si>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</si>
  <si>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</si>
  <si>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</si>
  <si>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</si>
  <si>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</si>
  <si>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</si>
  <si>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</si>
  <si>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</si>
  <si>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</si>
  <si>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</si>
  <si>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</si>
  <si>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</si>
  <si>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</si>
  <si>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</si>
  <si>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</si>
  <si>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</si>
  <si>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</si>
  <si>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</si>
  <si>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</si>
  <si>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</si>
  <si>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</si>
  <si>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</si>
  <si>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</si>
  <si>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</si>
  <si>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</si>
  <si>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</si>
  <si>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</si>
  <si>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</si>
  <si>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</si>
  <si>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</si>
  <si>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</si>
  <si>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</si>
  <si>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</si>
  <si>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</si>
  <si>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</si>
  <si>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</si>
  <si>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</si>
  <si>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</si>
  <si>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</si>
  <si>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</si>
  <si>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</si>
  <si>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</si>
  <si>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</si>
  <si>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</si>
  <si>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</si>
  <si>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</si>
  <si>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</si>
  <si>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</si>
  <si>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</si>
  <si>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</si>
  <si>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</si>
  <si>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</si>
  <si>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</si>
  <si>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</si>
  <si>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</si>
  <si>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</si>
  <si>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</si>
  <si>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</si>
  <si>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</si>
  <si>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</si>
  <si>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</si>
  <si>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</si>
  <si>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</si>
  <si>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</si>
  <si>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</si>
  <si>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</si>
  <si>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</si>
  <si>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</si>
  <si>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</si>
  <si>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</si>
  <si>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</si>
  <si>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</si>
  <si>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</si>
  <si>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</si>
  <si>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</si>
  <si>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</si>
  <si>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</si>
  <si>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</si>
  <si>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</si>
  <si>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</si>
  <si>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</si>
  <si>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</si>
  <si>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</si>
  <si>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</si>
  <si>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</si>
  <si>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</si>
  <si>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</si>
  <si>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</si>
  <si>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</si>
  <si>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</si>
  <si>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</si>
  <si>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</si>
  <si>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</si>
  <si>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</si>
  <si>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</si>
  <si>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</si>
  <si>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</si>
  <si>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</si>
  <si>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</si>
  <si>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</si>
  <si>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</si>
  <si>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</si>
  <si>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</si>
  <si>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</si>
  <si>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</si>
  <si>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</si>
  <si>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</si>
  <si>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</si>
  <si>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</si>
  <si>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</si>
  <si>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</si>
  <si>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</si>
  <si>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</si>
  <si>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</si>
  <si>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</si>
  <si>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</si>
  <si>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</si>
  <si>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</si>
  <si>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</si>
  <si>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</si>
  <si>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</si>
  <si>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</si>
  <si>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</si>
  <si>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</si>
  <si>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</si>
  <si>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</si>
  <si>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</si>
  <si>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</si>
  <si>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</si>
  <si>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</si>
  <si>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</si>
  <si>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</si>
  <si>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</si>
  <si>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</si>
  <si>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</si>
  <si>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</si>
  <si>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</si>
  <si>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</si>
  <si>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</si>
  <si>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</si>
  <si>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</si>
  <si>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</si>
  <si>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</si>
  <si>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</si>
  <si>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</si>
  <si>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</si>
  <si>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</si>
  <si>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</si>
  <si>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</si>
  <si>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</si>
  <si>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</si>
  <si>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</si>
  <si>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</si>
  <si>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</si>
  <si>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</si>
  <si>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</si>
  <si>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</si>
  <si>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</si>
  <si>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</si>
  <si>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</si>
  <si>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</si>
  <si>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</si>
  <si>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</si>
  <si>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</si>
  <si>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</si>
  <si>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</si>
  <si>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</si>
  <si>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</si>
  <si>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</si>
  <si>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</si>
  <si>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</si>
  <si>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</si>
  <si>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</si>
  <si>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</si>
  <si>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</si>
  <si>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</si>
  <si>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</si>
  <si>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</si>
  <si>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</si>
  <si>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</si>
  <si>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</si>
  <si>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</si>
  <si>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</si>
  <si>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</si>
  <si>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</si>
  <si>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</si>
  <si>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</si>
  <si>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</si>
  <si>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</si>
  <si>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</si>
  <si>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</si>
  <si>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</si>
  <si>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</si>
  <si>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</si>
  <si>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</si>
  <si>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</si>
  <si>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</si>
  <si>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</si>
  <si>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</si>
  <si>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</si>
  <si>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</si>
  <si>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</si>
  <si>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</si>
  <si>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</si>
  <si>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</si>
  <si>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</si>
  <si>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</si>
  <si>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</si>
  <si>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</si>
  <si>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</si>
  <si>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</si>
  <si>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</si>
  <si>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</si>
  <si>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</si>
  <si>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</si>
  <si>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</si>
  <si>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</si>
  <si>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</si>
  <si>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</si>
  <si>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</si>
  <si>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</si>
  <si>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</si>
  <si>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</si>
  <si>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</si>
  <si>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</si>
  <si>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</si>
  <si>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</si>
  <si>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</si>
  <si>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</si>
  <si>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</si>
  <si>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</si>
  <si>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</si>
  <si>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</si>
  <si>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</si>
  <si>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</si>
  <si>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</si>
  <si>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</si>
  <si>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</si>
  <si>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</si>
  <si>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</si>
  <si>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</si>
  <si>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</si>
  <si>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</si>
  <si>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</si>
  <si>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</si>
  <si>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</si>
  <si>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</si>
  <si>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</si>
  <si>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</si>
  <si>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</si>
  <si>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</si>
  <si>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</si>
  <si>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</si>
  <si>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</si>
  <si>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</si>
  <si>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</si>
  <si>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</si>
  <si>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</si>
  <si>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</si>
  <si>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</si>
  <si>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</si>
  <si>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</si>
  <si>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</si>
  <si>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</si>
  <si>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</si>
  <si>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</si>
  <si>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</si>
  <si>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</si>
  <si>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</si>
  <si>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</si>
  <si>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</si>
  <si>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</si>
  <si>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</si>
  <si>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</si>
  <si>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</si>
  <si>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</si>
  <si>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</si>
  <si>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</si>
  <si>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</si>
  <si>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</si>
  <si>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</si>
  <si>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</si>
  <si>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</si>
  <si>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</si>
  <si>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</si>
  <si>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</si>
  <si>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</si>
  <si>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</si>
  <si>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</si>
  <si>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</si>
  <si>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</si>
  <si>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</si>
  <si>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</si>
  <si>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</si>
  <si>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</si>
  <si>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</si>
  <si>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</si>
  <si>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</si>
  <si>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</si>
  <si>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</si>
  <si>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</si>
  <si>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</si>
  <si>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</si>
  <si>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</si>
  <si>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</si>
  <si>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</si>
  <si>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</si>
  <si>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</si>
  <si>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</si>
  <si>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</si>
  <si>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</si>
  <si>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</si>
  <si>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</si>
  <si>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</si>
  <si>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</si>
  <si>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</si>
  <si>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</si>
  <si>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</si>
  <si>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</si>
  <si>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</si>
  <si>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</si>
  <si>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</si>
  <si>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</si>
  <si>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</si>
  <si>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</si>
  <si>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</si>
  <si>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</si>
  <si>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</si>
  <si>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</si>
  <si>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</si>
  <si>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</si>
  <si>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</si>
  <si>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</si>
  <si>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</si>
  <si>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</si>
  <si>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</si>
  <si>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</si>
  <si>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</si>
  <si>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</si>
  <si>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</si>
  <si>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</si>
  <si>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</si>
  <si>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</si>
  <si>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</si>
  <si>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</si>
  <si>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</si>
  <si>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</si>
  <si>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</si>
  <si>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</si>
  <si>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</si>
  <si>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</si>
  <si>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</si>
  <si>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</si>
  <si>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</si>
  <si>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</si>
  <si>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</si>
  <si>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</si>
  <si>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</si>
  <si>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</si>
  <si>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</si>
  <si>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</si>
  <si>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</si>
  <si>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</si>
  <si>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</si>
  <si>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</si>
  <si>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</si>
  <si>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</si>
  <si>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</si>
  <si>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</si>
  <si>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</si>
  <si>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</si>
  <si>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</si>
  <si>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</si>
  <si>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</si>
  <si>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</si>
  <si>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</si>
  <si>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</si>
  <si>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</si>
  <si>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</si>
  <si>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</si>
  <si>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</si>
  <si>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</si>
  <si>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</si>
  <si>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</si>
  <si>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</si>
  <si>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</si>
  <si>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</si>
  <si>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</si>
  <si>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</si>
  <si>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</si>
  <si>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</si>
  <si>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</si>
  <si>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</si>
  <si>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</si>
  <si>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</si>
  <si>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</si>
  <si>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</si>
  <si>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</si>
  <si>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</si>
  <si>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</si>
  <si>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</si>
  <si>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</si>
  <si>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</si>
  <si>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</si>
  <si>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</si>
  <si>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</si>
  <si>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</si>
  <si>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</si>
  <si>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</si>
  <si>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</si>
  <si>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</si>
  <si>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</si>
  <si>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</si>
  <si>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</si>
  <si>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</si>
  <si>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</si>
  <si>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</si>
  <si>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</si>
  <si>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</si>
  <si>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</si>
  <si>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</si>
  <si>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</si>
  <si>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</si>
  <si>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</si>
  <si>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</si>
  <si>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</si>
  <si>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</si>
  <si>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</si>
  <si>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</si>
  <si>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</si>
  <si>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</si>
  <si>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</si>
  <si>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</si>
  <si>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</si>
  <si>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</si>
  <si>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</si>
  <si>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</si>
  <si>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</si>
  <si>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</si>
  <si>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</si>
  <si>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</si>
  <si>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</si>
  <si>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</si>
  <si>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</si>
  <si>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</si>
  <si>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</si>
  <si>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</si>
  <si>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</si>
  <si>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</si>
  <si>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</si>
  <si>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</si>
  <si>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</si>
  <si>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</si>
  <si>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</si>
  <si>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</si>
  <si>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</si>
  <si>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</si>
  <si>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</si>
  <si>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</si>
  <si>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</si>
  <si>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</si>
  <si>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</si>
  <si>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</si>
  <si>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</si>
  <si>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</si>
  <si>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</si>
  <si>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</si>
  <si>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</si>
  <si>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</si>
  <si>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</si>
  <si>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</si>
  <si>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</si>
  <si>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</si>
  <si>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</si>
  <si>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</si>
  <si>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</si>
  <si>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</si>
  <si>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</si>
  <si>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</si>
  <si>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</si>
  <si>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</si>
  <si>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</si>
  <si>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</si>
  <si>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</si>
  <si>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</si>
  <si>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</si>
  <si>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</si>
  <si>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</si>
  <si>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</si>
  <si>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</si>
  <si>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</si>
  <si>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</si>
  <si>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</si>
  <si>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</si>
  <si>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</si>
  <si>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</si>
  <si>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</si>
  <si>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</si>
  <si>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</si>
  <si>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</si>
  <si>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</si>
  <si>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</si>
  <si>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</si>
  <si>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</si>
  <si>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</si>
  <si>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</si>
  <si>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</si>
  <si>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</si>
  <si>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</si>
  <si>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</si>
  <si>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</si>
  <si>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</si>
  <si>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</si>
  <si>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</si>
  <si>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</si>
  <si>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</si>
  <si>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</si>
  <si>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</si>
  <si>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</si>
  <si>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</si>
  <si>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</si>
  <si>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</si>
  <si>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</si>
  <si>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</si>
  <si>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</si>
  <si>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</si>
  <si>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</si>
  <si>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</si>
  <si>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</si>
  <si>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</si>
  <si>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</si>
  <si>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</si>
  <si>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</si>
  <si>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</si>
  <si>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</si>
  <si>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</si>
  <si>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</si>
  <si>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</si>
  <si>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</si>
  <si>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</si>
  <si>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</si>
  <si>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</si>
  <si>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</si>
  <si>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</si>
  <si>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</si>
  <si>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</si>
  <si>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</si>
  <si>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</si>
  <si>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</si>
  <si>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</si>
  <si>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</si>
  <si>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</si>
  <si>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</si>
  <si>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</si>
  <si>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</si>
  <si>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</si>
  <si>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</si>
  <si>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</si>
  <si>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</si>
  <si>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</si>
  <si>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</si>
  <si>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</si>
  <si>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</si>
  <si>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</si>
  <si>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</si>
  <si>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</si>
  <si>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</si>
  <si>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</si>
  <si>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</si>
  <si>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</si>
  <si>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</si>
  <si>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</si>
  <si>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</si>
  <si>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</si>
  <si>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</si>
  <si>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</si>
  <si>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</si>
  <si>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</si>
  <si>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</si>
  <si>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</si>
  <si>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</si>
  <si>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</si>
  <si>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</si>
  <si>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</si>
  <si>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</si>
  <si>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</si>
  <si>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</si>
  <si>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</si>
  <si>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</si>
  <si>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</si>
  <si>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</si>
  <si>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</si>
  <si>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</si>
  <si>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</si>
  <si>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</si>
  <si>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</si>
  <si>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</si>
  <si>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</si>
  <si>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</si>
  <si>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</si>
  <si>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</si>
  <si>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</si>
  <si>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</si>
  <si>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</si>
  <si>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</si>
  <si>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</si>
  <si>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</si>
  <si>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</si>
  <si>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</si>
  <si>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</si>
  <si>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</si>
  <si>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</si>
  <si>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</si>
  <si>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</si>
  <si>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</si>
  <si>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</si>
  <si>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</si>
  <si>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</si>
  <si>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</si>
  <si>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</si>
  <si>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</si>
  <si>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</si>
  <si>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</si>
  <si>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</si>
  <si>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</si>
  <si>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</si>
  <si>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</si>
  <si>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</si>
  <si>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</si>
  <si>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</si>
  <si>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</si>
  <si>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</si>
  <si>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</si>
  <si>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</si>
  <si>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</si>
  <si>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</si>
  <si>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</si>
  <si>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</si>
  <si>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</si>
  <si>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</si>
  <si>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</si>
  <si>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</si>
  <si>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</si>
  <si>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</si>
  <si>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</si>
  <si>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</si>
  <si>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</si>
  <si>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</si>
  <si>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</si>
  <si>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</si>
  <si>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</si>
  <si>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</si>
  <si>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</si>
  <si>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</si>
  <si>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</si>
  <si>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</si>
  <si>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</si>
  <si>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</si>
  <si>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</si>
  <si>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</si>
  <si>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</si>
  <si>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</si>
  <si>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</si>
  <si>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</si>
  <si>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</si>
  <si>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</si>
  <si>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</si>
  <si>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</si>
  <si>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</si>
  <si>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</si>
  <si>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</si>
  <si>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</si>
  <si>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</si>
  <si>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</si>
  <si>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</si>
  <si>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</si>
  <si>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</si>
  <si>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</si>
  <si>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</si>
  <si>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</si>
  <si>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</si>
  <si>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</si>
  <si>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</si>
  <si>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</si>
  <si>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</si>
  <si>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</si>
  <si>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</si>
  <si>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</si>
  <si>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</si>
  <si>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</si>
  <si>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</si>
  <si>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</si>
  <si>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</si>
  <si>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</si>
  <si>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</si>
  <si>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</si>
  <si>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</si>
  <si>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</si>
  <si>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</si>
  <si>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</si>
  <si>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</si>
  <si>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</si>
  <si>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</si>
  <si>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</si>
  <si>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</si>
  <si>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</si>
  <si>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</si>
  <si>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</si>
  <si>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</si>
  <si>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</si>
  <si>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</si>
  <si>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</si>
  <si>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</si>
  <si>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</si>
  <si>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</si>
  <si>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</si>
  <si>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</si>
  <si>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</si>
  <si>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</si>
  <si>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</si>
  <si>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</si>
  <si>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</si>
  <si>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</si>
  <si>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</si>
  <si>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</si>
  <si>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</si>
  <si>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</si>
  <si>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</si>
  <si>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</si>
  <si>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</si>
  <si>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</si>
  <si>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</si>
  <si>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</si>
  <si>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</si>
  <si>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</si>
  <si>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</si>
  <si>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</si>
  <si>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</si>
  <si>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</si>
  <si>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</si>
  <si>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</si>
  <si>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</si>
  <si>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</si>
  <si>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</si>
  <si>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</si>
  <si>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</si>
  <si>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</si>
  <si>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</si>
  <si>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</si>
  <si>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</si>
  <si>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</si>
  <si>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</si>
  <si>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</si>
  <si>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</si>
  <si>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</si>
  <si>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</si>
  <si>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</si>
  <si>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</si>
  <si>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</si>
  <si>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</si>
  <si>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</si>
  <si>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</si>
  <si>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</si>
  <si>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</si>
  <si>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</si>
  <si>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</si>
  <si>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</si>
  <si>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</si>
  <si>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</si>
  <si>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</si>
  <si>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</si>
  <si>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</si>
  <si>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</si>
  <si>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</si>
  <si>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</si>
  <si>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</si>
  <si>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</si>
  <si>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</si>
  <si>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</si>
  <si>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</si>
  <si>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</si>
  <si>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</si>
  <si>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</si>
  <si>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</si>
  <si>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</si>
  <si>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</si>
  <si>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</si>
  <si>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</si>
  <si>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</si>
  <si>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</si>
  <si>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</si>
  <si>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</si>
  <si>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</si>
  <si>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</si>
  <si>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</si>
  <si>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</si>
  <si>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</si>
  <si>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</si>
  <si>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</si>
  <si>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</si>
  <si>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</si>
  <si>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</si>
  <si>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</si>
  <si>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</si>
  <si>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</si>
  <si>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</si>
  <si>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</si>
  <si>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</si>
  <si>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</si>
  <si>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</si>
  <si>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</si>
  <si>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</si>
  <si>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</si>
  <si>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</si>
  <si>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</si>
  <si>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</si>
  <si>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</si>
  <si>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</si>
  <si>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</si>
  <si>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</si>
  <si>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</si>
  <si>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</si>
  <si>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</si>
  <si>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</si>
  <si>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</si>
  <si>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</si>
  <si>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</si>
  <si>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</si>
  <si>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</si>
  <si>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</si>
  <si>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</si>
  <si>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</si>
  <si>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</si>
  <si>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</si>
  <si>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</si>
  <si>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</si>
  <si>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</si>
  <si>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</si>
  <si>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</si>
  <si>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</si>
  <si>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</si>
  <si>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</si>
  <si>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</si>
  <si>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</si>
  <si>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</si>
  <si>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</si>
  <si>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</si>
  <si>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</si>
  <si>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</si>
  <si>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</si>
  <si>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</si>
  <si>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</si>
  <si>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</si>
  <si>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</si>
  <si>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</si>
  <si>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</si>
  <si>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</si>
  <si>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</si>
  <si>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</si>
  <si>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</si>
  <si>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</si>
  <si>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</si>
  <si>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</si>
  <si>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</si>
  <si>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</si>
  <si>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</si>
  <si>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</si>
  <si>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</si>
  <si>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</si>
  <si>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</si>
  <si>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</si>
  <si>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</si>
  <si>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</si>
  <si>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</si>
  <si>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</si>
  <si>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</si>
  <si>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</si>
  <si>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</si>
  <si>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</si>
  <si>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</si>
  <si>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</si>
  <si>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</si>
  <si>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</si>
  <si>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</si>
  <si>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</si>
  <si>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</si>
  <si>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</si>
  <si>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</si>
  <si>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</si>
  <si>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</si>
  <si>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</si>
  <si>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</si>
  <si>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</si>
  <si>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</si>
  <si>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</si>
  <si>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</si>
  <si>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</si>
  <si>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</si>
  <si>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</si>
  <si>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</si>
  <si>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</si>
  <si>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</si>
  <si>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</si>
  <si>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</si>
  <si>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</si>
  <si>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</si>
  <si>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</si>
  <si>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</si>
  <si>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</si>
  <si>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</si>
  <si>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</si>
  <si>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</si>
  <si>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</si>
  <si>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</si>
  <si>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</si>
  <si>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</si>
  <si>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</si>
  <si>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</si>
  <si>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</si>
  <si>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</si>
  <si>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</si>
  <si>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</si>
  <si>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</si>
  <si>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</si>
  <si>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</si>
  <si>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</si>
  <si>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</si>
  <si>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</si>
  <si>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</si>
  <si>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</si>
  <si>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</si>
  <si>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</si>
  <si>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</si>
  <si>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</si>
  <si>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</si>
  <si>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</si>
  <si>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</si>
  <si>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</si>
  <si>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</si>
  <si>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</si>
  <si>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</si>
  <si>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</si>
  <si>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</si>
  <si>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</si>
  <si>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</si>
  <si>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</si>
  <si>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</si>
  <si>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</si>
  <si>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</si>
  <si>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</si>
  <si>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</si>
  <si>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</si>
  <si>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</si>
  <si>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</si>
  <si>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</si>
  <si>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</si>
  <si>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</si>
  <si>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</si>
  <si>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</si>
  <si>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</si>
  <si>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</si>
  <si>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</si>
  <si>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</si>
  <si>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</si>
  <si>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</si>
  <si>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</si>
  <si>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</si>
  <si>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</si>
  <si>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</si>
  <si>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</si>
  <si>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</si>
  <si>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</si>
  <si>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</si>
  <si>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</si>
  <si>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</si>
  <si>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</si>
  <si>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</si>
  <si>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</si>
  <si>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</si>
  <si>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</si>
  <si>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</si>
  <si>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</si>
  <si>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</si>
  <si>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</si>
  <si>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</si>
  <si>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</si>
  <si>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</si>
  <si>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</si>
  <si>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</si>
  <si>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</si>
  <si>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</si>
  <si>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</si>
  <si>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</si>
  <si>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</si>
  <si>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</si>
  <si>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</si>
  <si>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</si>
  <si>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</si>
  <si>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</si>
  <si>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</si>
  <si>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</si>
  <si>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</si>
  <si>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</si>
  <si>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</si>
  <si>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</si>
  <si>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</si>
  <si>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</si>
  <si>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</si>
  <si>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</si>
  <si>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</si>
  <si>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</si>
  <si>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</si>
  <si>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</si>
  <si>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</si>
  <si>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</si>
  <si>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</si>
  <si>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</si>
  <si>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</si>
  <si>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</si>
  <si>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</si>
  <si>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</si>
  <si>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</si>
  <si>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</si>
  <si>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</si>
  <si>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</si>
  <si>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</si>
  <si>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</si>
  <si>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</si>
  <si>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</si>
  <si>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</si>
  <si>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</si>
  <si>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</si>
  <si>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</si>
  <si>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</si>
  <si>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</si>
  <si>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</si>
  <si>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</si>
  <si>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</si>
  <si>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</si>
  <si>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</si>
  <si>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</si>
  <si>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</si>
  <si>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</si>
  <si>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</si>
  <si>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</si>
  <si>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</si>
  <si>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</si>
  <si>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</si>
  <si>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</si>
  <si>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</si>
  <si>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</si>
  <si>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</si>
  <si>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</si>
  <si>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</si>
  <si>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</si>
  <si>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</si>
  <si>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</si>
  <si>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</si>
  <si>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</si>
  <si>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</si>
  <si>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</si>
  <si>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</si>
  <si>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</si>
  <si>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</si>
  <si>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</si>
  <si>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</si>
  <si>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</si>
  <si>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</si>
  <si>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</si>
  <si>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</si>
  <si>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</si>
  <si>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</si>
  <si>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</si>
  <si>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</si>
  <si>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</si>
  <si>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</si>
  <si>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</si>
  <si>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</si>
  <si>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</si>
  <si>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</si>
  <si>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</si>
  <si>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</si>
  <si>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</si>
  <si>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</si>
  <si>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</si>
  <si>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</si>
  <si>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</si>
  <si>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</si>
  <si>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</si>
  <si>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</si>
  <si>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</si>
  <si>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</si>
  <si>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</si>
  <si>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</si>
  <si>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</si>
  <si>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</si>
  <si>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</si>
  <si>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</si>
  <si>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</si>
  <si>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</si>
  <si>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</si>
  <si>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</si>
  <si>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</si>
  <si>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</si>
  <si>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</si>
  <si>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</si>
  <si>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</si>
  <si>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</si>
  <si>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</si>
  <si>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</si>
  <si>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</si>
  <si>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</si>
  <si>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</si>
  <si>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</si>
  <si>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</si>
  <si>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</si>
  <si>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</si>
  <si>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</si>
  <si>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</si>
  <si>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</si>
  <si>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</si>
  <si>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</si>
  <si>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</si>
  <si>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</si>
  <si>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</si>
  <si>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</si>
  <si>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</si>
  <si>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</si>
  <si>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</si>
  <si>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</si>
  <si>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</si>
  <si>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</si>
  <si>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</si>
  <si>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</si>
  <si>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</si>
  <si>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</si>
  <si>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</si>
  <si>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</si>
  <si>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</si>
  <si>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</si>
  <si>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</si>
  <si>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</si>
  <si>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</si>
  <si>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</si>
  <si>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</si>
  <si>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</si>
  <si>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</si>
  <si>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</si>
  <si>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</si>
  <si>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</si>
  <si>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</si>
  <si>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</si>
  <si>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</si>
  <si>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</si>
  <si>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</si>
  <si>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</si>
  <si>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</si>
  <si>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</si>
  <si>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</si>
  <si>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</si>
  <si>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</si>
  <si>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</si>
  <si>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</si>
  <si>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</si>
  <si>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</si>
  <si>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</si>
  <si>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</si>
  <si>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</si>
  <si>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</si>
  <si>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</si>
  <si>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</si>
  <si>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</si>
  <si>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</si>
  <si>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</si>
  <si>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</si>
  <si>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</si>
  <si>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</si>
  <si>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</si>
  <si>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</si>
  <si>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</si>
  <si>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</si>
  <si>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</si>
  <si>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</si>
  <si>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</si>
  <si>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</si>
  <si>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</si>
  <si>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</si>
  <si>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</si>
  <si>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</si>
  <si>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</si>
  <si>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</si>
  <si>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</si>
  <si>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</si>
  <si>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</si>
  <si>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</si>
  <si>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</si>
  <si>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</si>
  <si>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</si>
  <si>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</si>
  <si>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</si>
  <si>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</si>
  <si>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</si>
  <si>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</si>
  <si>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</si>
  <si>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</si>
  <si>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</si>
  <si>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</si>
  <si>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</si>
  <si>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</si>
  <si>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</si>
  <si>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</si>
  <si>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</si>
  <si>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</si>
  <si>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</si>
  <si>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</si>
  <si>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</si>
  <si>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</si>
  <si>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</si>
  <si>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</si>
  <si>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</si>
  <si>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</si>
  <si>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</si>
  <si>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</si>
  <si>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</si>
  <si>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</si>
  <si>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</si>
  <si>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</si>
  <si>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</si>
  <si>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</si>
  <si>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</si>
  <si>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</si>
  <si>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</si>
  <si>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</si>
  <si>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</si>
  <si>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</si>
  <si>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</si>
  <si>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</si>
  <si>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</si>
  <si>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</si>
  <si>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</si>
  <si>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</si>
  <si>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</si>
  <si>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</si>
  <si>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</si>
  <si>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</si>
  <si>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</si>
  <si>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</si>
  <si>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</si>
  <si>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</si>
  <si>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</si>
  <si>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</si>
  <si>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</si>
  <si>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</si>
  <si>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</si>
  <si>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</si>
  <si>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</si>
  <si>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</si>
  <si>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</si>
  <si>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</si>
  <si>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</si>
  <si>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</si>
  <si>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</si>
  <si>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</si>
  <si>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</si>
  <si>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</si>
  <si>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</si>
  <si>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</si>
  <si>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</si>
  <si>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</si>
  <si>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</si>
  <si>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</si>
  <si>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</si>
  <si>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</si>
  <si>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</si>
  <si>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</si>
  <si>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</si>
  <si>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</si>
  <si>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</si>
  <si>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</si>
  <si>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</si>
  <si>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</si>
  <si>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</si>
  <si>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</si>
  <si>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</si>
  <si>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</si>
  <si>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</si>
  <si>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</si>
  <si>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</si>
  <si>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</si>
  <si>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</si>
  <si>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</si>
  <si>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</si>
  <si>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</si>
  <si>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</si>
  <si>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</si>
  <si>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</si>
  <si>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</si>
  <si>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</si>
  <si>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</si>
  <si>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</si>
  <si>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</si>
  <si>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</si>
  <si>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</si>
  <si>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</si>
  <si>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</si>
  <si>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</si>
  <si>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</si>
  <si>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</si>
  <si>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</si>
  <si>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</si>
  <si>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</si>
  <si>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</si>
  <si>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</si>
  <si>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</si>
  <si>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</si>
  <si>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</si>
  <si>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</si>
  <si>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</si>
  <si>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</si>
  <si>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</si>
  <si>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</si>
  <si>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</si>
  <si>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</si>
  <si>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</si>
  <si>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</si>
  <si>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</si>
  <si>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</si>
  <si>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</si>
  <si>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</si>
  <si>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</si>
  <si>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</si>
  <si>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</si>
  <si>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</si>
  <si>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</si>
  <si>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</si>
  <si>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</si>
  <si>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</si>
  <si>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</si>
  <si>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</si>
  <si>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</si>
  <si>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</si>
  <si>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</si>
  <si>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</si>
  <si>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</si>
  <si>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</si>
  <si>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</si>
  <si>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</si>
  <si>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</si>
  <si>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</si>
  <si>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</si>
  <si>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</si>
  <si>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</si>
  <si>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</si>
  <si>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</si>
  <si>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</si>
  <si>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</si>
  <si>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</si>
  <si>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</si>
  <si>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</si>
  <si>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</si>
  <si>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</si>
  <si>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</si>
  <si>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</si>
  <si>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</si>
  <si>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</si>
  <si>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</si>
  <si>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</si>
  <si>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</si>
  <si>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</si>
  <si>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</si>
  <si>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</si>
  <si>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</si>
  <si>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</si>
  <si>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</si>
  <si>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</si>
  <si>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</si>
  <si>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</si>
  <si>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</si>
  <si>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</si>
  <si>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</si>
  <si>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</si>
  <si>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</si>
  <si>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</si>
  <si>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</si>
  <si>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</si>
  <si>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</si>
  <si>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</si>
  <si>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</si>
  <si>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</si>
  <si>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</si>
  <si>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</si>
  <si>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</si>
  <si>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</si>
  <si>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</si>
  <si>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</si>
  <si>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</si>
  <si>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</si>
  <si>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</si>
  <si>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</si>
  <si>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</si>
  <si>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</si>
  <si>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</si>
  <si>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</si>
  <si>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</si>
  <si>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</si>
  <si>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</si>
  <si>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</si>
  <si>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</si>
  <si>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</si>
  <si>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</si>
  <si>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</si>
  <si>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</si>
  <si>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</si>
  <si>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</si>
  <si>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</si>
  <si>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</si>
  <si>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</si>
  <si>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</si>
  <si>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</si>
  <si>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</si>
  <si>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</si>
  <si>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</si>
  <si>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</si>
  <si>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</si>
  <si>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</si>
  <si>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</si>
  <si>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</si>
  <si>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</si>
  <si>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</si>
  <si>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</si>
  <si>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</si>
  <si>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</si>
  <si>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</si>
  <si>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</si>
  <si>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</si>
  <si>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</si>
  <si>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</si>
  <si>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</si>
  <si>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</si>
  <si>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</si>
  <si>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</si>
  <si>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</si>
  <si>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</si>
  <si>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</si>
  <si>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</si>
  <si>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</si>
  <si>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</si>
  <si>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</si>
  <si>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</si>
  <si>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</si>
  <si>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</si>
  <si>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</si>
  <si>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</si>
  <si>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</si>
  <si>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</si>
  <si>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</si>
  <si>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</si>
  <si>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</si>
  <si>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</si>
  <si>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</si>
  <si>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</si>
  <si>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</si>
  <si>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</si>
  <si>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</si>
  <si>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</si>
  <si>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</si>
  <si>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</si>
  <si>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</si>
  <si>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</si>
  <si>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</si>
  <si>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</si>
  <si>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</si>
  <si>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</si>
  <si>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</si>
  <si>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</si>
  <si>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</si>
  <si>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</si>
  <si>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</si>
  <si>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</si>
  <si>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</si>
  <si>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</si>
  <si>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</si>
  <si>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</si>
  <si>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</si>
  <si>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</si>
  <si>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</si>
  <si>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</si>
  <si>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</si>
  <si>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</si>
  <si>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</si>
  <si>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</si>
  <si>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</si>
  <si>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</si>
  <si>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</si>
  <si>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</si>
  <si>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</si>
  <si>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</si>
  <si>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</si>
  <si>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</si>
  <si>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</si>
  <si>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</si>
  <si>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</si>
  <si>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</si>
  <si>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</si>
  <si>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</si>
  <si>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</si>
  <si>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</si>
  <si>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</si>
  <si>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</si>
  <si>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</si>
  <si>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</si>
  <si>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</si>
  <si>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</si>
  <si>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</si>
  <si>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</si>
  <si>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</si>
  <si>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</si>
  <si>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</si>
  <si>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</si>
  <si>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</si>
  <si>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</si>
  <si>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</si>
  <si>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</si>
  <si>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</si>
  <si>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</si>
  <si>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</si>
  <si>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</si>
  <si>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</si>
  <si>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</si>
  <si>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</si>
  <si>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</si>
  <si>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</si>
  <si>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</si>
  <si>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</si>
  <si>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</si>
  <si>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</si>
  <si>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</si>
  <si>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</si>
  <si>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</si>
  <si>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</si>
  <si>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</si>
  <si>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</si>
  <si>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</si>
  <si>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</si>
  <si>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</si>
  <si>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</si>
  <si>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</si>
  <si>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</si>
  <si>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</si>
  <si>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</si>
  <si>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</si>
  <si>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</si>
  <si>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</si>
  <si>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</si>
  <si>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</si>
  <si>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</si>
  <si>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</si>
  <si>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</si>
  <si>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</si>
  <si>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</si>
  <si>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</si>
  <si>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</si>
  <si>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</si>
  <si>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</si>
  <si>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</si>
  <si>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</si>
  <si>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</si>
  <si>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</si>
  <si>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</si>
  <si>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</si>
  <si>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</si>
  <si>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</si>
  <si>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</si>
  <si>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</si>
  <si>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</si>
  <si>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</si>
  <si>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</si>
  <si>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</si>
  <si>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</si>
  <si>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</si>
  <si>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</si>
  <si>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</si>
  <si>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</si>
  <si>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</si>
  <si>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</si>
  <si>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</si>
  <si>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</si>
  <si>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</si>
  <si>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</si>
  <si>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</si>
  <si>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</si>
  <si>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</si>
  <si>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</si>
  <si>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</si>
  <si>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</si>
  <si>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</si>
  <si>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</si>
  <si>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</si>
  <si>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</si>
  <si>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</si>
  <si>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</si>
  <si>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</si>
  <si>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</si>
  <si>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</si>
  <si>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</si>
  <si>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</si>
  <si>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</si>
  <si>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</si>
  <si>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</si>
  <si>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</si>
  <si>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</si>
  <si>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</si>
  <si>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</si>
  <si>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</si>
  <si>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</si>
  <si>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</si>
  <si>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</si>
  <si>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</si>
  <si>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</si>
  <si>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</si>
  <si>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</si>
  <si>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</si>
  <si>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</si>
  <si>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</si>
  <si>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</si>
  <si>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</si>
  <si>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</si>
  <si>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</si>
  <si>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</si>
  <si>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</si>
  <si>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</si>
  <si>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</si>
  <si>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</si>
  <si>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</si>
  <si>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</si>
  <si>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</si>
  <si>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</si>
  <si>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</si>
  <si>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</si>
  <si>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</si>
  <si>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</si>
  <si>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</si>
  <si>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</si>
  <si>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</si>
  <si>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</si>
  <si>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</si>
  <si>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</si>
  <si>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</si>
  <si>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</si>
  <si>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</si>
  <si>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</si>
  <si>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</si>
  <si>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</si>
  <si>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</si>
  <si>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</si>
  <si>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</si>
  <si>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</si>
  <si>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</si>
  <si>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</si>
  <si>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</si>
  <si>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</si>
  <si>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</si>
  <si>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</si>
  <si>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</si>
  <si>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</si>
  <si>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</si>
  <si>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</si>
  <si>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</si>
  <si>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</si>
  <si>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</si>
  <si>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</si>
  <si>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</si>
  <si>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</si>
  <si>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</si>
  <si>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</si>
  <si>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</si>
  <si>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</si>
  <si>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</si>
  <si>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</si>
  <si>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</si>
  <si>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</si>
  <si>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</si>
  <si>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</si>
  <si>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</si>
  <si>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</si>
  <si>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</si>
  <si>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</si>
  <si>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</si>
  <si>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</si>
  <si>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</si>
  <si>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</si>
  <si>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</si>
  <si>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</si>
  <si>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</si>
  <si>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</si>
  <si>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</si>
  <si>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</si>
  <si>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</si>
  <si>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</si>
  <si>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</si>
  <si>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</si>
  <si>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</si>
  <si>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</si>
  <si>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</si>
  <si>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</si>
  <si>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</si>
  <si>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</si>
  <si>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</si>
  <si>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</si>
  <si>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</si>
  <si>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</si>
  <si>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</si>
  <si>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</si>
  <si>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</si>
  <si>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</si>
  <si>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</si>
  <si>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</si>
  <si>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</si>
  <si>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</si>
  <si>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</si>
  <si>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</si>
  <si>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</si>
  <si>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</si>
  <si>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</si>
  <si>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</si>
  <si>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</si>
  <si>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</si>
  <si>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</si>
  <si>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</si>
  <si>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</si>
  <si>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</si>
  <si>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</si>
  <si>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</si>
  <si>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</si>
  <si>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</si>
  <si>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</si>
  <si>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</si>
  <si>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</si>
  <si>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</si>
  <si>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</si>
  <si>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</si>
  <si>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</si>
  <si>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</si>
  <si>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</si>
  <si>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</si>
  <si>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</si>
  <si>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</si>
  <si>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</si>
  <si>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</si>
  <si>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</si>
  <si>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</si>
  <si>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</si>
  <si>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</si>
  <si>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</si>
  <si>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</si>
  <si>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</si>
  <si>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</si>
  <si>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</si>
  <si>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</si>
  <si>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</si>
  <si>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</si>
  <si>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</si>
  <si>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</si>
  <si>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</si>
  <si>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</si>
  <si>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</si>
  <si>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</si>
  <si>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</si>
  <si>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</si>
  <si>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</si>
  <si>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</si>
  <si>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</si>
  <si>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</si>
  <si>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</si>
  <si>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</si>
  <si>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</si>
  <si>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</si>
  <si>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</si>
  <si>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</si>
  <si>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</si>
  <si>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</si>
  <si>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</si>
  <si>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</si>
  <si>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</si>
  <si>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</si>
  <si>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</si>
  <si>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</si>
  <si>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</si>
  <si>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</si>
  <si>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</si>
  <si>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</si>
  <si>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</si>
  <si>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</si>
  <si>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</si>
  <si>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</si>
  <si>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</si>
  <si>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</si>
  <si>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</si>
  <si>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</si>
  <si>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</si>
  <si>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</si>
  <si>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</si>
  <si>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</si>
  <si>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</si>
  <si>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</si>
  <si>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</si>
  <si>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</si>
  <si>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</si>
  <si>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</si>
  <si>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</si>
  <si>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</si>
  <si>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</si>
  <si>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</si>
  <si>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</si>
  <si>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</si>
  <si>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</si>
  <si>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</si>
  <si>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</si>
  <si>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</si>
  <si>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</si>
  <si>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</si>
  <si>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</si>
  <si>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</si>
  <si>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</si>
  <si>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</si>
  <si>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</si>
  <si>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</si>
  <si>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</si>
  <si>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</si>
  <si>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</si>
  <si>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</si>
  <si>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</si>
  <si>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</si>
  <si>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</si>
  <si>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</si>
  <si>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</si>
  <si>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</si>
  <si>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</si>
  <si>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</si>
  <si>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</si>
  <si>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</si>
  <si>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</si>
  <si>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</si>
  <si>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</si>
  <si>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</si>
  <si>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</si>
  <si>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</si>
  <si>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</si>
  <si>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</si>
  <si>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</si>
  <si>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</si>
  <si>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</si>
  <si>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</si>
  <si>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</si>
  <si>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</si>
  <si>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</si>
  <si>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</si>
  <si>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</si>
  <si>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</si>
  <si>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</si>
  <si>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</si>
  <si>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</si>
  <si>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</si>
  <si>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</si>
  <si>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</si>
  <si>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</si>
  <si>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</si>
  <si>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</si>
  <si>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</si>
  <si>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</si>
  <si>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</si>
  <si>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</si>
  <si>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</si>
  <si>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</si>
  <si>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</si>
  <si>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</si>
  <si>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</si>
  <si>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</si>
  <si>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</si>
  <si>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</si>
  <si>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</si>
  <si>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</si>
  <si>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</si>
  <si>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</si>
  <si>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</si>
  <si>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</si>
  <si>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</si>
  <si>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</si>
  <si>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</si>
  <si>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</si>
  <si>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</si>
  <si>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</si>
  <si>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</si>
  <si>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</si>
  <si>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</si>
  <si>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</si>
  <si>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</si>
  <si>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</si>
  <si>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</si>
  <si>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</si>
  <si>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</si>
  <si>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</si>
  <si>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</si>
  <si>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</si>
  <si>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</si>
  <si>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</si>
  <si>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</si>
  <si>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</si>
  <si>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</si>
  <si>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</si>
  <si>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</si>
  <si>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</si>
  <si>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</si>
  <si>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</si>
  <si>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</si>
  <si>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</si>
  <si>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</si>
  <si>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</si>
  <si>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</si>
  <si>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</si>
  <si>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</si>
  <si>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</si>
  <si>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</si>
  <si>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</si>
  <si>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</si>
  <si>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</si>
  <si>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</si>
  <si>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</si>
  <si>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</si>
  <si>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</si>
  <si>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</si>
  <si>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</si>
  <si>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</si>
  <si>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</si>
  <si>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</si>
  <si>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</si>
  <si>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</si>
  <si>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</si>
  <si>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</si>
  <si>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</si>
  <si>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</si>
  <si>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</si>
  <si>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</si>
  <si>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</si>
  <si>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</si>
  <si>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</si>
  <si>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</si>
  <si>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</si>
  <si>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</si>
  <si>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</si>
  <si>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</si>
  <si>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</si>
  <si>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</si>
  <si>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</si>
  <si>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</si>
  <si>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</si>
  <si>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</si>
  <si>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</si>
  <si>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</si>
  <si>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</si>
  <si>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</si>
  <si>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</si>
  <si>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</si>
  <si>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</si>
  <si>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</si>
  <si>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</si>
  <si>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</si>
  <si>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</si>
  <si>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</si>
  <si>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</si>
  <si>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</si>
  <si>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</si>
  <si>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</si>
  <si>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</si>
  <si>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</si>
  <si>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</si>
  <si>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</si>
  <si>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</si>
  <si>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</si>
  <si>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</si>
  <si>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</si>
  <si>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</si>
  <si>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</si>
  <si>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</si>
  <si>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</si>
  <si>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</si>
  <si>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</si>
  <si>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</si>
  <si>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</si>
  <si>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</si>
  <si>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</si>
  <si>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</si>
  <si>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</si>
  <si>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</si>
  <si>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</si>
  <si>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</si>
  <si>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</si>
  <si>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</si>
  <si>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</si>
  <si>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</si>
  <si>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</si>
  <si>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</si>
  <si>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</si>
  <si>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</si>
  <si>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</si>
  <si>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</si>
  <si>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</si>
  <si>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</si>
  <si>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</si>
  <si>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</si>
  <si>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</si>
  <si>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</si>
  <si>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</si>
  <si>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</si>
  <si>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</si>
  <si>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</si>
  <si>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</si>
  <si>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</si>
  <si>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</si>
  <si>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</si>
  <si>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</si>
  <si>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</si>
  <si>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</si>
  <si>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</si>
  <si>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</si>
  <si>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</si>
  <si>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</si>
  <si>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</si>
  <si>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</si>
  <si>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</si>
  <si>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</si>
  <si>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</si>
  <si>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</si>
  <si>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</si>
  <si>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</si>
  <si>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</si>
  <si>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</si>
  <si>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</si>
  <si>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</si>
  <si>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</si>
  <si>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</si>
  <si>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</si>
  <si>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</si>
  <si>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</si>
  <si>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</si>
  <si>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</si>
  <si>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</si>
  <si>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</si>
  <si>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</si>
  <si>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</si>
  <si>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</si>
  <si>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</si>
  <si>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</si>
  <si>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</si>
  <si>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</si>
  <si>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</si>
  <si>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</si>
  <si>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</si>
  <si>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</si>
  <si>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</si>
  <si>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</si>
  <si>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</si>
  <si>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</si>
  <si>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</si>
  <si>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</si>
  <si>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</si>
  <si>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</si>
  <si>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</si>
  <si>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</si>
  <si>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</si>
  <si>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</si>
  <si>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</si>
  <si>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</si>
  <si>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</si>
  <si>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</si>
  <si>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</si>
  <si>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</si>
  <si>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</si>
  <si>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</si>
  <si>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</si>
  <si>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</si>
  <si>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</si>
  <si>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</si>
  <si>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</si>
  <si>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</si>
  <si>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</si>
  <si>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</si>
  <si>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</si>
  <si>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</si>
  <si>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</si>
  <si>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</si>
  <si>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</si>
  <si>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</si>
  <si>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</si>
  <si>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</si>
  <si>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</si>
  <si>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</si>
  <si>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</si>
  <si>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</si>
  <si>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</si>
  <si>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</si>
  <si>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</si>
  <si>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</si>
  <si>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</si>
  <si>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</si>
  <si>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</si>
  <si>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</si>
  <si>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</si>
  <si>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</si>
  <si>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</si>
  <si>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</si>
  <si>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</si>
  <si>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</si>
  <si>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</si>
  <si>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</si>
  <si>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</si>
  <si>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</si>
  <si>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</si>
  <si>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</si>
  <si>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</si>
  <si>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</si>
  <si>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</si>
  <si>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</si>
  <si>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</si>
  <si>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</si>
  <si>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</si>
  <si>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</si>
  <si>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</si>
  <si>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</si>
  <si>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</si>
  <si>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</si>
  <si>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</si>
  <si>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</si>
  <si>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</si>
  <si>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</si>
  <si>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</si>
  <si>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</si>
  <si>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</si>
  <si>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</si>
  <si>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</si>
  <si>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</si>
  <si>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</si>
  <si>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</si>
  <si>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</si>
  <si>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</si>
  <si>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</si>
  <si>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</si>
  <si>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</si>
  <si>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</si>
  <si>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</si>
  <si>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</si>
  <si>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</si>
  <si>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</si>
  <si>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</si>
  <si>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</si>
  <si>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</si>
  <si>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</si>
  <si>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</si>
  <si>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</si>
  <si>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</si>
  <si>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</si>
  <si>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</si>
  <si>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</si>
  <si>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</si>
  <si>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</si>
  <si>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</si>
  <si>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</si>
  <si>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</si>
  <si>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</si>
  <si>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</si>
  <si>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</si>
  <si>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</si>
  <si>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</si>
  <si>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</si>
  <si>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</si>
  <si>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</si>
  <si>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</si>
  <si>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</si>
  <si>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</si>
  <si>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</si>
  <si>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</si>
  <si>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</si>
  <si>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</si>
  <si>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</si>
  <si>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</si>
  <si>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</si>
  <si>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</si>
  <si>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</si>
  <si>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</si>
  <si>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</si>
  <si>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</si>
  <si>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</si>
  <si>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</si>
  <si>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</si>
  <si>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</si>
  <si>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</si>
  <si>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</si>
  <si>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</si>
  <si>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</si>
  <si>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</si>
  <si>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</si>
  <si>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</si>
  <si>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</si>
  <si>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</si>
  <si>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</si>
  <si>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</si>
  <si>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</si>
  <si>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</si>
  <si>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</si>
  <si>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</si>
  <si>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</si>
  <si>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</si>
  <si>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</si>
  <si>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</si>
  <si>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</si>
  <si>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</si>
  <si>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</si>
  <si>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</si>
  <si>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</si>
  <si>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</si>
  <si>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</si>
  <si>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</si>
  <si>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</si>
  <si>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</si>
  <si>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</si>
  <si>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</si>
  <si>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</si>
  <si>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</si>
  <si>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</si>
  <si>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</si>
  <si>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</si>
  <si>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</si>
  <si>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</si>
  <si>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</si>
  <si>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</si>
  <si>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</si>
  <si>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</si>
  <si>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</si>
  <si>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</si>
  <si>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</si>
  <si>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</si>
  <si>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</si>
  <si>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</si>
  <si>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</si>
  <si>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</si>
  <si>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</si>
  <si>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</si>
  <si>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</si>
  <si>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</si>
  <si>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</si>
  <si>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</si>
  <si>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</si>
  <si>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</si>
  <si>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</si>
  <si>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</si>
  <si>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</si>
  <si>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</si>
  <si>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</si>
  <si>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</si>
  <si>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</si>
  <si>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</si>
  <si>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</si>
  <si>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</si>
  <si>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</si>
  <si>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</si>
  <si>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</si>
  <si>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</si>
  <si>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</si>
  <si>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</si>
  <si>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</si>
  <si>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</si>
  <si>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</si>
  <si>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</si>
  <si>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</si>
  <si>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</si>
  <si>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</si>
  <si>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</si>
  <si>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</si>
  <si>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</si>
  <si>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</si>
  <si>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</si>
  <si>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</si>
  <si>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</si>
  <si>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</si>
  <si>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</si>
  <si>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</si>
  <si>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</si>
  <si>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</si>
  <si>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</si>
  <si>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</si>
  <si>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</si>
  <si>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</si>
  <si>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</si>
  <si>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</si>
  <si>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</si>
  <si>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</si>
  <si>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</si>
  <si>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</si>
  <si>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</si>
  <si>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</si>
  <si>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</si>
  <si>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</si>
  <si>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</si>
  <si>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</si>
  <si>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</si>
  <si>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</si>
  <si>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</si>
  <si>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</si>
  <si>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</si>
  <si>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</si>
  <si>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</si>
  <si>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</si>
  <si>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</si>
  <si>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</si>
  <si>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</si>
  <si>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</si>
  <si>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</si>
  <si>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</si>
  <si>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</si>
  <si>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</si>
  <si>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</si>
  <si>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</si>
  <si>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</si>
  <si>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</si>
  <si>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</si>
  <si>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</si>
  <si>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</si>
  <si>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</si>
  <si>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</si>
  <si>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</si>
  <si>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</si>
  <si>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</si>
  <si>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</si>
  <si>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</si>
  <si>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</si>
  <si>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</si>
  <si>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</si>
  <si>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</si>
  <si>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</si>
  <si>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</si>
  <si>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</si>
  <si>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</si>
  <si>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</si>
  <si>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</si>
  <si>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</si>
  <si>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</si>
  <si>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</si>
  <si>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</si>
  <si>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</si>
  <si>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</si>
  <si>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</si>
  <si>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</si>
  <si>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</si>
  <si>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</si>
  <si>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</si>
  <si>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</si>
  <si>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</si>
  <si>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</si>
  <si>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</si>
  <si>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</si>
  <si>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</si>
  <si>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</si>
  <si>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</si>
  <si>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</si>
  <si>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</si>
  <si>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</si>
  <si>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</si>
  <si>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</si>
  <si>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</si>
  <si>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</si>
  <si>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</si>
  <si>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</si>
  <si>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</si>
  <si>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</si>
  <si>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</si>
  <si>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</si>
  <si>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</si>
  <si>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</si>
  <si>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</si>
  <si>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</si>
  <si>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</si>
  <si>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</si>
  <si>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</si>
  <si>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</si>
  <si>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</si>
  <si>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</si>
  <si>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</si>
  <si>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</si>
  <si>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</si>
  <si>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</si>
  <si>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</si>
  <si>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</si>
  <si>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</si>
  <si>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</si>
  <si>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</si>
  <si>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</si>
  <si>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</si>
  <si>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</si>
  <si>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</si>
  <si>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</si>
  <si>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</si>
  <si>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</si>
  <si>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</si>
  <si>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</si>
  <si>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</si>
  <si>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</si>
  <si>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</si>
  <si>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</si>
  <si>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</si>
  <si>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</si>
  <si>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</si>
  <si>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</si>
  <si>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</si>
  <si>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</si>
  <si>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</si>
  <si>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</si>
  <si>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</si>
  <si>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</si>
  <si>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</si>
  <si>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</si>
  <si>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</si>
  <si>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</si>
  <si>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</si>
  <si>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</si>
  <si>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</si>
  <si>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</si>
  <si>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</si>
  <si>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</si>
  <si>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</si>
  <si>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</si>
  <si>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</si>
  <si>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</si>
  <si>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</si>
  <si>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</si>
  <si>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</si>
  <si>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</si>
  <si>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</si>
  <si>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</si>
  <si>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</si>
  <si>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</si>
  <si>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</si>
  <si>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</si>
  <si>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</si>
  <si>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</si>
  <si>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</si>
  <si>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</si>
  <si>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</si>
  <si>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</si>
  <si>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</si>
  <si>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</si>
  <si>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</si>
  <si>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</si>
  <si>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</si>
  <si>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</si>
  <si>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</si>
  <si>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</si>
  <si>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</si>
  <si>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</si>
  <si>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</si>
  <si>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</si>
  <si>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</si>
  <si>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</si>
  <si>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</si>
  <si>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</si>
  <si>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</si>
  <si>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</si>
  <si>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</si>
  <si>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</si>
  <si>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</si>
  <si>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</si>
  <si>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</si>
  <si>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</si>
  <si>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</si>
  <si>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</si>
  <si>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</si>
  <si>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</si>
  <si>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</si>
  <si>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</si>
  <si>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</si>
  <si>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</si>
  <si>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</si>
  <si>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</si>
  <si>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</si>
  <si>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</si>
  <si>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</si>
  <si>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</si>
  <si>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</si>
  <si>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</si>
  <si>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</si>
  <si>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</si>
  <si>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</si>
  <si>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</si>
  <si>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</si>
  <si>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</si>
  <si>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</si>
  <si>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</si>
  <si>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</si>
  <si>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</si>
  <si>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</si>
  <si>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</si>
  <si>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</si>
  <si>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</si>
  <si>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</si>
  <si>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</si>
  <si>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</si>
  <si>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</si>
  <si>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</si>
  <si>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</si>
  <si>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</si>
  <si>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</si>
  <si>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</si>
  <si>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</si>
  <si>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</si>
  <si>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</si>
  <si>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</si>
  <si>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</si>
  <si>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</si>
  <si>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</si>
  <si>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</si>
  <si>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</si>
  <si>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</si>
  <si>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</si>
  <si>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</si>
  <si>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</si>
  <si>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</si>
  <si>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</si>
  <si>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</si>
  <si>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</si>
  <si>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</si>
  <si>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</si>
  <si>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</si>
  <si>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</si>
  <si>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</si>
  <si>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</si>
  <si>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</si>
  <si>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</si>
  <si>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</si>
  <si>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</si>
  <si>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</si>
  <si>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</si>
  <si>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</si>
  <si>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</si>
  <si>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</si>
  <si>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</si>
  <si>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</si>
  <si>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</si>
  <si>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</si>
  <si>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</si>
  <si>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</si>
  <si>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</si>
  <si>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</si>
  <si>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</si>
  <si>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</si>
  <si>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</si>
  <si>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</si>
  <si>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</si>
  <si>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</si>
  <si>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</si>
  <si>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</si>
  <si>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</si>
  <si>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</si>
  <si>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</si>
  <si>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</si>
  <si>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</si>
  <si>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</si>
  <si>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</si>
  <si>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</si>
  <si>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</si>
  <si>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</si>
  <si>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</si>
  <si>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</si>
  <si>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</si>
  <si>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</si>
  <si>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</si>
  <si>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</si>
  <si>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</si>
  <si>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</si>
  <si>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</si>
  <si>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</si>
  <si>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</si>
  <si>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</si>
  <si>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</si>
  <si>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</si>
  <si>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</si>
  <si>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</si>
  <si>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</si>
  <si>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</si>
  <si>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</si>
  <si>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</si>
  <si>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</si>
  <si>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</si>
  <si>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</si>
  <si>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</si>
  <si>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</si>
  <si>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</si>
  <si>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</si>
  <si>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</si>
  <si>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</si>
  <si>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</si>
  <si>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</si>
  <si>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</si>
  <si>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</si>
  <si>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</si>
  <si>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</si>
  <si>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</si>
  <si>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</si>
  <si>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</si>
  <si>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</si>
  <si>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</si>
  <si>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</si>
  <si>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</si>
  <si>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</si>
  <si>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</si>
  <si>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</si>
  <si>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</si>
  <si>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</si>
  <si>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</si>
  <si>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</si>
  <si>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</si>
  <si>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</si>
  <si>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</si>
  <si>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</si>
  <si>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</si>
  <si>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</si>
  <si>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</si>
  <si>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</si>
  <si>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</si>
  <si>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</si>
  <si>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</si>
  <si>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</si>
  <si>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</si>
  <si>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</si>
  <si>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</si>
  <si>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</si>
  <si>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</si>
  <si>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</si>
  <si>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</si>
  <si>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</si>
  <si>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</si>
  <si>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</si>
  <si>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</si>
  <si>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</si>
  <si>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</si>
  <si>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</si>
  <si>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</si>
  <si>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</si>
  <si>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</si>
  <si>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</si>
  <si>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</si>
  <si>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</si>
  <si>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</si>
  <si>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</si>
  <si>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</si>
  <si>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</si>
  <si>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</si>
  <si>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</si>
  <si>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</si>
  <si>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</si>
  <si>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</si>
  <si>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</si>
  <si>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</si>
  <si>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</si>
  <si>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</si>
  <si>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</si>
  <si>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</si>
  <si>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</si>
  <si>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</si>
  <si>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</si>
  <si>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</si>
  <si>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</si>
  <si>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</si>
  <si>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</si>
  <si>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</si>
  <si>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</si>
  <si>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</si>
  <si>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</si>
  <si>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</si>
  <si>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</si>
  <si>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</si>
  <si>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</si>
  <si>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</si>
  <si>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</si>
  <si>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</si>
  <si>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</si>
  <si>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</si>
  <si>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</si>
  <si>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</si>
  <si>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</si>
  <si>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</si>
  <si>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</si>
  <si>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</si>
  <si>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</si>
  <si>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</si>
  <si>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</si>
  <si>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</si>
  <si>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</si>
  <si>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</si>
  <si>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</si>
  <si>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</si>
  <si>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</si>
  <si>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</si>
  <si>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</si>
  <si>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</si>
  <si>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</si>
  <si>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</si>
  <si>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</si>
  <si>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</si>
  <si>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</si>
  <si>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</si>
  <si>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</si>
  <si>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</si>
  <si>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</si>
  <si>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</si>
  <si>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</si>
  <si>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</si>
  <si>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</si>
  <si>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</si>
  <si>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</si>
  <si>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</si>
  <si>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</si>
  <si>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</si>
  <si>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</si>
  <si>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</si>
  <si>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</si>
  <si>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</si>
  <si>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</si>
  <si>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</si>
  <si>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</si>
  <si>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</si>
  <si>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</si>
  <si>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</si>
  <si>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</si>
  <si>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</si>
  <si>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</si>
  <si>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</si>
  <si>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</si>
  <si>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</si>
  <si>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</si>
  <si>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</si>
  <si>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</si>
  <si>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</si>
  <si>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</si>
  <si>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</si>
  <si>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</si>
  <si>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</si>
  <si>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</si>
  <si>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</si>
  <si>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</si>
  <si>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</si>
  <si>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</si>
  <si>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</si>
  <si>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</si>
  <si>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</si>
  <si>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</si>
  <si>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</si>
  <si>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</si>
  <si>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</si>
  <si>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</si>
  <si>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</si>
  <si>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</si>
  <si>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</si>
  <si>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</si>
  <si>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</si>
  <si>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</si>
  <si>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</si>
  <si>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</si>
  <si>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</si>
  <si>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</si>
  <si>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</si>
  <si>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</si>
  <si>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</si>
  <si>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</si>
  <si>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</si>
  <si>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</si>
  <si>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</si>
  <si>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</si>
  <si>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</si>
  <si>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</si>
  <si>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</si>
  <si>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</si>
  <si>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</si>
  <si>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</si>
  <si>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</si>
  <si>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</si>
  <si>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</si>
  <si>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</si>
  <si>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</si>
  <si>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</si>
  <si>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</si>
  <si>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</si>
  <si>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</si>
  <si>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</si>
  <si>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</si>
  <si>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</si>
  <si>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</si>
  <si>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</si>
  <si>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</si>
  <si>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</si>
  <si>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</si>
  <si>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</si>
  <si>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</si>
  <si>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</si>
  <si>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</si>
  <si>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</si>
  <si>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</si>
  <si>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</si>
  <si>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</si>
  <si>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</si>
  <si>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</si>
  <si>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</si>
  <si>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</si>
  <si>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</si>
  <si>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</si>
  <si>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</si>
  <si>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</si>
  <si>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</si>
  <si>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</si>
  <si>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</si>
  <si>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</si>
  <si>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</si>
  <si>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</si>
  <si>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</si>
  <si>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</si>
  <si>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</si>
  <si>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</si>
  <si>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</si>
  <si>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</si>
  <si>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</si>
  <si>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</si>
  <si>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</si>
  <si>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</si>
  <si>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</si>
  <si>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</si>
  <si>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</si>
  <si>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</si>
  <si>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</si>
  <si>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</si>
  <si>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</si>
  <si>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</si>
  <si>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</si>
  <si>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</si>
  <si>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</si>
  <si>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</si>
  <si>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</si>
  <si>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</si>
  <si>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</si>
  <si>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</si>
  <si>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</si>
  <si>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</si>
  <si>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</si>
  <si>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</si>
  <si>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</si>
  <si>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</si>
  <si>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</si>
  <si>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</si>
  <si>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</si>
  <si>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</si>
  <si>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</si>
  <si>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</si>
  <si>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</si>
  <si>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</si>
  <si>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</si>
  <si>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</si>
  <si>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</si>
  <si>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</si>
  <si>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</si>
  <si>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</si>
  <si>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</si>
  <si>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</si>
  <si>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</si>
  <si>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</si>
  <si>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</si>
  <si>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</si>
  <si>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</si>
  <si>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</si>
  <si>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</si>
  <si>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</si>
  <si>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</si>
  <si>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</si>
  <si>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</si>
  <si>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</si>
  <si>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</si>
  <si>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</si>
  <si>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</si>
  <si>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</si>
  <si>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</si>
  <si>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</si>
  <si>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</si>
  <si>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</si>
  <si>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</si>
  <si>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</si>
  <si>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</si>
  <si>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</si>
  <si>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</si>
  <si>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</si>
  <si>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</si>
  <si>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</si>
  <si>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</si>
  <si>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</si>
  <si>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</si>
  <si>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</si>
  <si>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</si>
  <si>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</si>
  <si>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</si>
  <si>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</si>
  <si>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</si>
  <si>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</si>
  <si>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</si>
  <si>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</si>
  <si>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</si>
  <si>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</si>
  <si>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</si>
  <si>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</si>
  <si>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</si>
  <si>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</si>
  <si>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</si>
  <si>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</si>
  <si>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</si>
  <si>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</si>
  <si>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</si>
  <si>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</si>
  <si>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</si>
  <si>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</si>
  <si>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</si>
  <si>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</si>
  <si>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</si>
  <si>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</si>
  <si>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</si>
  <si>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</si>
  <si>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</si>
  <si>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</si>
  <si>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</si>
  <si>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</si>
  <si>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</si>
  <si>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</si>
  <si>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</si>
  <si>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</si>
  <si>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</si>
  <si>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</si>
  <si>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</si>
  <si>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</si>
  <si>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</si>
  <si>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</si>
  <si>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</si>
  <si>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</si>
  <si>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</si>
  <si>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</si>
  <si>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</si>
  <si>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</si>
  <si>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</si>
  <si>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</si>
  <si>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</si>
  <si>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</si>
  <si>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</si>
  <si>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</si>
  <si>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</si>
  <si>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</si>
  <si>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</si>
  <si>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</si>
  <si>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</si>
  <si>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</si>
  <si>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</si>
  <si>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</si>
  <si>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</si>
  <si>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</si>
  <si>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</si>
  <si>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</si>
  <si>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</si>
  <si>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</si>
  <si>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</si>
  <si>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</si>
  <si>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</si>
  <si>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</si>
  <si>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</si>
  <si>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</si>
  <si>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</si>
  <si>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</si>
  <si>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</si>
  <si>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</si>
  <si>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</si>
  <si>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</si>
  <si>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</si>
  <si>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</si>
  <si>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</si>
  <si>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</si>
  <si>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</si>
  <si>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</si>
  <si>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</si>
  <si>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</si>
  <si>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</si>
  <si>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</si>
  <si>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</si>
  <si>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</si>
  <si>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</si>
  <si>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</si>
  <si>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</si>
  <si>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</si>
  <si>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</si>
  <si>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</si>
  <si>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</si>
  <si>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</si>
  <si>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</si>
  <si>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</si>
  <si>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</si>
  <si>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</si>
  <si>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</si>
  <si>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</si>
  <si>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</si>
  <si>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</si>
  <si>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</si>
  <si>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</si>
  <si>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</si>
  <si>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</si>
  <si>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</si>
  <si>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</si>
  <si>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</si>
  <si>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</si>
  <si>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</si>
  <si>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</si>
  <si>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</si>
  <si>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</si>
  <si>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</si>
  <si>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</si>
  <si>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</si>
  <si>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</si>
  <si>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</si>
  <si>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</si>
  <si>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</si>
  <si>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</si>
  <si>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</si>
  <si>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</si>
  <si>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</si>
  <si>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</si>
  <si>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</si>
  <si>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</si>
  <si>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</si>
  <si>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</si>
  <si>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</si>
  <si>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</si>
  <si>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</si>
  <si>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</si>
  <si>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</si>
  <si>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</si>
  <si>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</si>
  <si>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</si>
  <si>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</si>
  <si>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</si>
  <si>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</si>
  <si>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</si>
  <si>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</si>
  <si>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</si>
  <si>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</si>
  <si>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</si>
  <si>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</si>
  <si>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</si>
  <si>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</si>
  <si>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</si>
  <si>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</si>
  <si>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</si>
  <si>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</si>
  <si>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</si>
  <si>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</si>
  <si>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</si>
  <si>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</si>
  <si>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</si>
  <si>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</si>
  <si>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</si>
  <si>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</si>
  <si>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</si>
  <si>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</si>
  <si>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</si>
  <si>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</si>
  <si>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</si>
  <si>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</si>
  <si>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</si>
  <si>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</si>
  <si>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</si>
  <si>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</si>
  <si>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</si>
  <si>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</si>
  <si>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</si>
  <si>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</si>
  <si>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</si>
  <si>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</si>
  <si>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</si>
  <si>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</si>
  <si>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</si>
  <si>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</si>
  <si>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</si>
  <si>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</si>
  <si>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</si>
  <si>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</si>
  <si>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</si>
  <si>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</si>
  <si>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</si>
  <si>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</si>
  <si>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</si>
  <si>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</si>
  <si>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</si>
  <si>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</si>
  <si>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</si>
  <si>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</si>
  <si>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</si>
  <si>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</si>
  <si>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</si>
  <si>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</si>
  <si>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</si>
  <si>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</si>
  <si>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</si>
  <si>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</si>
  <si>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</si>
  <si>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</si>
  <si>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</si>
  <si>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</si>
  <si>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</si>
  <si>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</si>
  <si>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</si>
  <si>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</si>
  <si>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</si>
  <si>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</si>
  <si>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</si>
  <si>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</si>
  <si>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</si>
  <si>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</si>
  <si>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</si>
  <si>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</si>
  <si>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</si>
  <si>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</si>
  <si>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</si>
  <si>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</si>
  <si>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</si>
  <si>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</si>
  <si>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</si>
  <si>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</si>
  <si>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</si>
  <si>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</si>
  <si>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</si>
  <si>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</si>
  <si>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</si>
  <si>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</si>
  <si>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</si>
  <si>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</si>
  <si>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</si>
  <si>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</si>
  <si>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</si>
  <si>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</si>
  <si>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</si>
  <si>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</si>
  <si>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</si>
  <si>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</si>
  <si>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</si>
  <si>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</si>
  <si>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</si>
  <si>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</si>
  <si>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</si>
  <si>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</si>
  <si>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</si>
  <si>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</si>
  <si>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</si>
  <si>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</si>
  <si>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</si>
  <si>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</si>
  <si>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</si>
  <si>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</si>
  <si>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</si>
  <si>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</si>
  <si>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</si>
  <si>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</si>
  <si>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</si>
  <si>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</si>
  <si>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</si>
  <si>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</si>
  <si>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</si>
  <si>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</si>
  <si>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</si>
  <si>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</si>
  <si>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</si>
  <si>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</si>
  <si>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</si>
  <si>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</si>
  <si>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</si>
  <si>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</si>
  <si>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</si>
  <si>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</si>
  <si>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</si>
  <si>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</si>
  <si>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</si>
  <si>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</si>
  <si>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</si>
  <si>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</si>
  <si>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</si>
  <si>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</si>
  <si>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</si>
  <si>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</si>
  <si>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</si>
  <si>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</si>
  <si>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</si>
  <si>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</si>
  <si>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</si>
  <si>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</si>
  <si>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</si>
  <si>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</si>
  <si>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</si>
  <si>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</si>
  <si>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</si>
  <si>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</si>
  <si>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</si>
  <si>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</si>
  <si>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</si>
  <si>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</si>
  <si>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</si>
  <si>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</si>
  <si>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</si>
  <si>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</si>
  <si>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</si>
  <si>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</si>
  <si>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</si>
  <si>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</si>
  <si>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</si>
  <si>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</si>
  <si>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</si>
  <si>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</si>
  <si>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</si>
  <si>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</si>
  <si>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</si>
  <si>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</si>
  <si>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</si>
  <si>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</si>
  <si>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</si>
  <si>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</si>
  <si>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</si>
  <si>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</si>
  <si>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</si>
  <si>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</si>
  <si>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</si>
  <si>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</si>
  <si>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</si>
  <si>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</si>
  <si>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</si>
  <si>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</si>
  <si>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</si>
  <si>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</si>
  <si>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</si>
  <si>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</si>
  <si>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</si>
  <si>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</si>
  <si>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</si>
  <si>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</si>
  <si>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</si>
  <si>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</si>
  <si>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</si>
  <si>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</si>
  <si>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</si>
  <si>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</si>
  <si>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</si>
  <si>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</si>
  <si>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</si>
  <si>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</si>
  <si>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</si>
  <si>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</si>
  <si>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</si>
  <si>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</si>
  <si>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</si>
  <si>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</si>
  <si>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</si>
  <si>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</si>
  <si>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</si>
  <si>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</si>
  <si>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</si>
  <si>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</si>
  <si>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</si>
  <si>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</si>
  <si>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</si>
  <si>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</si>
  <si>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</si>
  <si>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</si>
  <si>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</si>
  <si>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</si>
  <si>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</si>
  <si>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</si>
  <si>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</si>
  <si>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</si>
  <si>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</si>
  <si>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</si>
  <si>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</si>
  <si>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</si>
  <si>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</si>
  <si>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</si>
  <si>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</si>
  <si>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</si>
  <si>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</si>
  <si>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</si>
  <si>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</si>
  <si>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</si>
  <si>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</si>
  <si>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</si>
  <si>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</si>
  <si>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</si>
  <si>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</si>
  <si>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</si>
  <si>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</si>
  <si>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</si>
  <si>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</si>
  <si>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</si>
  <si>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</si>
  <si>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</si>
  <si>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</si>
  <si>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</si>
  <si>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</si>
  <si>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</si>
  <si>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</si>
  <si>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</si>
  <si>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</si>
  <si>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</si>
  <si>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</si>
  <si>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</si>
  <si>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</si>
  <si>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</si>
  <si>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</si>
  <si>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</si>
  <si>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</si>
  <si>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</si>
  <si>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</si>
  <si>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</si>
  <si>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</si>
  <si>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</si>
  <si>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</si>
  <si>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</si>
  <si>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</si>
  <si>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</si>
  <si>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</si>
  <si>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</si>
  <si>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</si>
  <si>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</si>
  <si>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</si>
  <si>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</si>
  <si>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</si>
  <si>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</si>
  <si>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</si>
  <si>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</si>
  <si>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</si>
  <si>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</si>
  <si>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</si>
  <si>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</si>
  <si>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</si>
  <si>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</si>
  <si>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</si>
  <si>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</si>
  <si>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</si>
  <si>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</si>
  <si>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</si>
  <si>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</si>
  <si>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</si>
  <si>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</si>
  <si>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</si>
  <si>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</si>
  <si>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</si>
  <si>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</si>
  <si>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</si>
  <si>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</si>
  <si>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</si>
  <si>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</si>
  <si>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</si>
  <si>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</si>
  <si>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</si>
  <si>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</si>
  <si>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</si>
  <si>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</si>
  <si>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</si>
  <si>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</si>
  <si>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</si>
  <si>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</si>
  <si>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</si>
  <si>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</si>
  <si>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</si>
  <si>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</si>
  <si>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</si>
  <si>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</si>
  <si>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</si>
  <si>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</si>
  <si>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</si>
  <si>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</si>
  <si>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</si>
  <si>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</si>
  <si>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</si>
  <si>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</si>
  <si>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</si>
  <si>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</si>
  <si>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</si>
  <si>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</si>
  <si>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</si>
  <si>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</si>
  <si>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</si>
  <si>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</si>
  <si>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</si>
  <si>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</si>
  <si>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</si>
  <si>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</si>
  <si>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</si>
  <si>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</si>
  <si>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</si>
  <si>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</si>
  <si>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</si>
  <si>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</si>
  <si>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</si>
  <si>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</si>
  <si>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</si>
  <si>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</si>
  <si>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</si>
  <si>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</si>
  <si>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</si>
  <si>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</si>
  <si>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</si>
  <si>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</si>
  <si>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</si>
  <si>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</si>
  <si>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</si>
  <si>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</si>
  <si>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</si>
  <si>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</si>
  <si>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</si>
  <si>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</si>
  <si>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</si>
  <si>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</si>
  <si>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</si>
  <si>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</si>
  <si>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</si>
  <si>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</si>
  <si>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</si>
  <si>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</si>
  <si>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</si>
  <si>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</si>
  <si>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</si>
  <si>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</si>
  <si>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</si>
  <si>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</si>
  <si>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</si>
  <si>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</si>
  <si>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</si>
  <si>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</si>
  <si>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</si>
  <si>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</si>
  <si>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</si>
  <si>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</si>
  <si>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</si>
  <si>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</si>
  <si>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</si>
  <si>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</si>
  <si>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</si>
  <si>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</si>
  <si>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</si>
  <si>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</si>
  <si>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</si>
  <si>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</si>
  <si>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</si>
  <si>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</si>
  <si>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</si>
  <si>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</si>
  <si>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</si>
  <si>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</si>
  <si>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</si>
  <si>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</si>
  <si>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</si>
  <si>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</si>
  <si>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</si>
  <si>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</si>
  <si>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</si>
  <si>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</si>
  <si>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</si>
  <si>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</si>
  <si>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</si>
  <si>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</si>
  <si>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</si>
  <si>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</si>
  <si>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</si>
  <si>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</si>
  <si>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</si>
  <si>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</si>
  <si>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</si>
  <si>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</si>
  <si>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</si>
  <si>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</si>
  <si>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</si>
  <si>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</si>
  <si>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</si>
  <si>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</si>
  <si>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</si>
  <si>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</si>
  <si>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</si>
  <si>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</si>
  <si>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</si>
  <si>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</si>
  <si>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</si>
  <si>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</si>
  <si>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</si>
  <si>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</si>
  <si>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</si>
  <si>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</si>
  <si>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</si>
  <si>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</si>
  <si>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</si>
  <si>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</si>
  <si>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</si>
  <si>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</si>
  <si>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</si>
  <si>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</si>
  <si>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</si>
  <si>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</si>
  <si>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</si>
  <si>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</si>
  <si>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</si>
  <si>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</si>
  <si>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</si>
  <si>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</si>
  <si>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</si>
  <si>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</si>
  <si>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</si>
  <si>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</si>
  <si>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</si>
  <si>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</si>
  <si>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</si>
  <si>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</si>
  <si>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</si>
  <si>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</si>
  <si>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</si>
  <si>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</si>
  <si>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</si>
  <si>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</si>
  <si>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</si>
  <si>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</si>
  <si>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</si>
  <si>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</si>
  <si>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</si>
  <si>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</si>
  <si>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</si>
  <si>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</si>
  <si>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</si>
  <si>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</si>
  <si>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</si>
  <si>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</si>
  <si>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</si>
  <si>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</si>
  <si>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</si>
  <si>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</si>
  <si>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</si>
  <si>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</si>
  <si>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</si>
  <si>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</si>
  <si>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</si>
  <si>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</si>
  <si>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</si>
  <si>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</si>
  <si>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</si>
  <si>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</si>
  <si>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</si>
  <si>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</si>
  <si>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</si>
  <si>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</si>
  <si>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</si>
  <si>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</si>
  <si>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</si>
  <si>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</si>
  <si>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</si>
  <si>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</si>
  <si>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</si>
  <si>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</si>
  <si>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</si>
  <si>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</si>
  <si>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</si>
  <si>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</si>
  <si>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</si>
  <si>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</si>
  <si>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</si>
  <si>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</si>
  <si>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</si>
  <si>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</si>
  <si>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</si>
  <si>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</si>
  <si>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</si>
  <si>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</si>
  <si>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</si>
  <si>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</si>
  <si>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</si>
  <si>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</si>
  <si>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</si>
  <si>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</si>
  <si>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</si>
  <si>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</si>
  <si>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</si>
  <si>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</si>
  <si>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</si>
  <si>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</si>
  <si>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</si>
  <si>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</si>
  <si>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</si>
  <si>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</si>
  <si>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</si>
  <si>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</si>
  <si>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</si>
  <si>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</si>
  <si>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</si>
  <si>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</si>
  <si>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</si>
  <si>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</si>
  <si>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</si>
  <si>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</si>
  <si>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</si>
  <si>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</si>
  <si>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</si>
  <si>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</si>
  <si>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</si>
  <si>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</si>
  <si>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</si>
  <si>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</si>
  <si>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</si>
  <si>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</si>
  <si>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</si>
  <si>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</si>
  <si>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</si>
  <si>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</si>
  <si>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</si>
  <si>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</si>
  <si>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</si>
  <si>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</si>
  <si>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</si>
  <si>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</si>
  <si>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</si>
  <si>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</si>
  <si>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</si>
  <si>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</si>
  <si>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</si>
  <si>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</si>
  <si>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</si>
  <si>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</si>
  <si>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</si>
  <si>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</si>
  <si>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</si>
  <si>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</si>
  <si>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</si>
  <si>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</si>
  <si>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</si>
  <si>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</si>
  <si>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</si>
  <si>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</si>
  <si>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</si>
  <si>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</si>
  <si>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</si>
  <si>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</si>
  <si>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</si>
  <si>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</si>
  <si>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</si>
  <si>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</si>
  <si>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</si>
  <si>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</si>
  <si>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</si>
  <si>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</si>
  <si>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</si>
  <si>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</si>
  <si>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</si>
  <si>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</si>
  <si>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</si>
  <si>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</si>
  <si>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</si>
  <si>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</si>
  <si>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</si>
  <si>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</si>
  <si>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</si>
  <si>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</si>
  <si>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</si>
  <si>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</si>
  <si>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</si>
  <si>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</si>
  <si>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</si>
  <si>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</si>
  <si>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</si>
  <si>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</si>
  <si>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</si>
  <si>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</si>
  <si>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</si>
  <si>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</si>
  <si>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</si>
  <si>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</si>
  <si>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</si>
  <si>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</si>
  <si>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</si>
  <si>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</si>
  <si>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</si>
  <si>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</si>
  <si>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</si>
  <si>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</si>
  <si>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</si>
  <si>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</si>
  <si>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</si>
  <si>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</si>
  <si>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</si>
  <si>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</si>
  <si>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</si>
  <si>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</si>
  <si>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</si>
  <si>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</si>
  <si>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</si>
  <si>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</si>
  <si>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</si>
  <si>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</si>
  <si>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</si>
  <si>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</si>
  <si>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</si>
  <si>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</si>
  <si>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</si>
  <si>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</si>
  <si>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</si>
  <si>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</si>
  <si>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</si>
  <si>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</si>
  <si>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</si>
  <si>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</si>
  <si>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</si>
  <si>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</si>
  <si>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</si>
  <si>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</si>
  <si>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</si>
  <si>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</si>
  <si>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</si>
  <si>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</si>
  <si>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</si>
  <si>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</si>
  <si>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</si>
  <si>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</si>
  <si>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</si>
  <si>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</si>
  <si>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</si>
  <si>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</si>
  <si>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</si>
  <si>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</si>
  <si>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</si>
  <si>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</si>
  <si>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</si>
  <si>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</si>
  <si>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</si>
  <si>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</si>
  <si>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</si>
  <si>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</si>
  <si>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</si>
  <si>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</si>
  <si>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</si>
  <si>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</si>
  <si>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</si>
  <si>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</si>
  <si>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</si>
  <si>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</si>
  <si>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</si>
  <si>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</si>
  <si>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</si>
  <si>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</si>
  <si>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</si>
  <si>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</si>
  <si>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</si>
  <si>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</si>
  <si>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</si>
  <si>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</si>
  <si>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</si>
  <si>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</si>
  <si>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</si>
  <si>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</si>
  <si>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</si>
  <si>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</si>
  <si>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</si>
  <si>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</si>
  <si>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</si>
  <si>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</si>
  <si>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</si>
  <si>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</si>
  <si>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</si>
  <si>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</si>
  <si>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</si>
  <si>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</si>
  <si>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</si>
  <si>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</si>
  <si>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</si>
  <si>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</si>
  <si>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</si>
  <si>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</si>
  <si>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</si>
  <si>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</si>
  <si>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</si>
  <si>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</si>
  <si>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</si>
  <si>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</si>
  <si>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</si>
  <si>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</si>
  <si>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</si>
  <si>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</si>
  <si>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</si>
  <si>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</si>
  <si>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</si>
  <si>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</si>
  <si>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</si>
  <si>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</si>
  <si>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</si>
  <si>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</si>
  <si>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</si>
  <si>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</si>
  <si>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</si>
  <si>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</si>
  <si>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</si>
  <si>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</si>
  <si>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</si>
  <si>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</si>
  <si>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</si>
  <si>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</si>
  <si>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</si>
  <si>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</si>
  <si>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</si>
  <si>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</si>
  <si>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</si>
  <si>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</si>
  <si>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</si>
  <si>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</si>
  <si>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</si>
  <si>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</si>
  <si>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</si>
  <si>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</si>
  <si>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</si>
  <si>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</si>
  <si>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</si>
  <si>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</si>
  <si>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</si>
  <si>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</si>
  <si>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</si>
  <si>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</si>
  <si>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</si>
  <si>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</si>
  <si>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</si>
  <si>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</si>
  <si>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</si>
  <si>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</si>
  <si>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</si>
  <si>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</si>
  <si>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</si>
  <si>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</si>
  <si>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</si>
  <si>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</si>
  <si>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</si>
  <si>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</si>
  <si>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</si>
  <si>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</si>
  <si>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</si>
  <si>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</si>
  <si>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</si>
  <si>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</si>
  <si>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</si>
  <si>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</si>
  <si>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</si>
  <si>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</si>
  <si>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</si>
  <si>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</si>
  <si>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</si>
  <si>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</si>
  <si>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</si>
  <si>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</si>
  <si>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</si>
  <si>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</si>
  <si>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</si>
  <si>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</si>
  <si>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</si>
  <si>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</si>
  <si>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</si>
  <si>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</si>
  <si>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</si>
  <si>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</si>
  <si>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</si>
  <si>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</si>
  <si>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</si>
  <si>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</si>
  <si>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</si>
  <si>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</si>
  <si>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</si>
  <si>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</si>
  <si>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</si>
  <si>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</si>
  <si>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</si>
  <si>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</si>
  <si>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</si>
  <si>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</si>
  <si>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</si>
  <si>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</si>
  <si>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</si>
  <si>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</si>
  <si>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</si>
  <si>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</si>
  <si>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</si>
  <si>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</si>
  <si>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</si>
  <si>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</si>
  <si>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</si>
  <si>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</si>
  <si>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</si>
  <si>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</si>
  <si>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</si>
  <si>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</si>
  <si>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</si>
  <si>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</si>
  <si>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</si>
  <si>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</si>
  <si>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</si>
  <si>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</si>
  <si>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</si>
  <si>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</si>
  <si>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</si>
  <si>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</si>
  <si>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</si>
  <si>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</si>
  <si>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</si>
  <si>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</si>
  <si>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</si>
  <si>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</si>
  <si>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</si>
  <si>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</si>
  <si>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</si>
  <si>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</si>
  <si>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</si>
  <si>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</si>
  <si>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</si>
  <si>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</si>
  <si>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</si>
  <si>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</si>
  <si>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</si>
  <si>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</si>
  <si>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</si>
  <si>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</si>
  <si>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</si>
  <si>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</si>
  <si>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</si>
  <si>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</si>
  <si>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</si>
  <si>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</si>
  <si>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</si>
  <si>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</si>
  <si>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</si>
  <si>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</si>
  <si>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</si>
  <si>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</si>
  <si>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</si>
  <si>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</si>
  <si>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</si>
  <si>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</si>
  <si>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</si>
  <si>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</si>
  <si>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</si>
  <si>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</si>
  <si>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</si>
  <si>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</si>
  <si>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</si>
  <si>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</si>
  <si>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</si>
  <si>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</si>
  <si>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</si>
  <si>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</si>
  <si>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</si>
  <si>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</si>
  <si>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</si>
  <si>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</si>
  <si>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</si>
  <si>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</si>
  <si>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</si>
  <si>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</si>
  <si>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</si>
  <si>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</si>
  <si>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</si>
  <si>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</si>
  <si>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</si>
  <si>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</si>
  <si>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</si>
  <si>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</si>
  <si>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</si>
  <si>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</si>
  <si>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</si>
  <si>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</si>
  <si>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</si>
  <si>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</si>
  <si>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</si>
  <si>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</si>
  <si>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</si>
  <si>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</si>
  <si>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</si>
  <si>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</si>
  <si>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</si>
  <si>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</si>
  <si>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</si>
  <si>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</si>
  <si>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</si>
  <si>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</si>
  <si>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</si>
  <si>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</si>
  <si>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</si>
  <si>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</si>
  <si>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</si>
  <si>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</si>
  <si>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</si>
  <si>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</si>
  <si>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</si>
  <si>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</si>
  <si>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</si>
  <si>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</si>
  <si>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</si>
  <si>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</si>
  <si>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</si>
  <si>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</si>
  <si>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</si>
  <si>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</si>
  <si>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</si>
  <si>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</si>
  <si>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</si>
  <si>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</si>
  <si>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</si>
  <si>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</si>
  <si>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</si>
  <si>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</si>
  <si>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</si>
  <si>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</si>
  <si>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</si>
  <si>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</si>
  <si>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</si>
  <si>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</si>
  <si>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</si>
  <si>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</si>
  <si>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</si>
  <si>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</si>
  <si>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</si>
  <si>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</si>
  <si>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</si>
  <si>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</si>
  <si>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</si>
  <si>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</si>
  <si>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</si>
  <si>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</si>
  <si>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</si>
  <si>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</si>
  <si>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</si>
  <si>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</si>
  <si>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</si>
  <si>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</si>
  <si>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</si>
  <si>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</si>
  <si>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</si>
  <si>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</si>
  <si>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</si>
  <si>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</si>
  <si>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</si>
  <si>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</si>
  <si>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</si>
  <si>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</si>
  <si>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</si>
  <si>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</si>
  <si>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</si>
  <si>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</si>
  <si>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</si>
  <si>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</si>
  <si>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</si>
  <si>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</si>
  <si>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</si>
  <si>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</si>
  <si>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</si>
  <si>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</si>
  <si>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</si>
  <si>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</si>
  <si>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</si>
  <si>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</si>
  <si>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</si>
  <si>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</si>
  <si>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</si>
  <si>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</si>
  <si>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</si>
  <si>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</si>
  <si>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</si>
  <si>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</si>
  <si>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</si>
  <si>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</si>
  <si>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</si>
  <si>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</si>
  <si>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</si>
  <si>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</si>
  <si>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</si>
  <si>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</si>
  <si>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</si>
  <si>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</si>
  <si>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</si>
  <si>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</si>
  <si>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</si>
  <si>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</si>
  <si>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</si>
  <si>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</si>
  <si>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</si>
  <si>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</si>
  <si>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</si>
  <si>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</si>
  <si>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</si>
  <si>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</si>
  <si>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</si>
  <si>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</si>
  <si>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</si>
  <si>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</si>
  <si>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</si>
  <si>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</si>
  <si>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</si>
  <si>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</si>
  <si>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</si>
  <si>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</si>
  <si>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</si>
  <si>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</si>
  <si>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</si>
  <si>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</si>
  <si>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</si>
  <si>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</si>
  <si>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</si>
  <si>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</si>
  <si>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</si>
  <si>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</si>
  <si>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</si>
  <si>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</si>
  <si>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</si>
  <si>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</si>
  <si>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</si>
  <si>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</si>
  <si>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</si>
  <si>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</si>
  <si>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</si>
  <si>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</si>
  <si>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</si>
  <si>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</si>
  <si>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</si>
  <si>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</si>
  <si>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</si>
  <si>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</si>
  <si>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</si>
  <si>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</si>
  <si>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</si>
  <si>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</si>
  <si>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</si>
  <si>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</si>
  <si>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</si>
  <si>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</si>
  <si>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</si>
  <si>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</si>
  <si>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</si>
  <si>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</si>
  <si>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</si>
  <si>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</si>
  <si>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</si>
  <si>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</si>
  <si>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</si>
  <si>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</si>
  <si>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</si>
  <si>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</si>
  <si>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</si>
  <si>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</si>
  <si>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</si>
  <si>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</si>
  <si>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</si>
  <si>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</si>
  <si>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</si>
  <si>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</si>
  <si>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</si>
  <si>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</si>
  <si>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</si>
  <si>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</si>
  <si>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</si>
  <si>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</si>
  <si>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</si>
  <si>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</si>
  <si>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</si>
  <si>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</si>
  <si>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</si>
  <si>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</si>
  <si>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</si>
  <si>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</si>
  <si>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</si>
  <si>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</si>
  <si>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</si>
  <si>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</si>
  <si>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</si>
  <si>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</si>
  <si>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</si>
  <si>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</si>
  <si>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</si>
  <si>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</si>
  <si>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</si>
  <si>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</si>
  <si>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</si>
  <si>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</si>
  <si>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</si>
  <si>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</si>
  <si>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</si>
  <si>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</si>
  <si>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</si>
  <si>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</si>
  <si>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</si>
  <si>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</si>
  <si>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</si>
  <si>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</si>
  <si>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</si>
  <si>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</si>
  <si>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</si>
  <si>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</si>
  <si>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</si>
  <si>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</si>
  <si>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</si>
  <si>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</si>
  <si>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</si>
  <si>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</si>
  <si>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</si>
  <si>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</si>
  <si>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</si>
  <si>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</si>
  <si>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</si>
  <si>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</si>
  <si>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</si>
  <si>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</si>
  <si>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</si>
  <si>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</si>
  <si>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</si>
  <si>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</si>
  <si>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</si>
  <si>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</si>
  <si>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</si>
  <si>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</si>
  <si>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</si>
  <si>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</si>
  <si>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</si>
  <si>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</si>
  <si>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</si>
  <si>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</si>
  <si>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</si>
  <si>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</si>
  <si>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</si>
  <si>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</si>
  <si>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</si>
  <si>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</si>
  <si>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</si>
  <si>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</si>
  <si>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</si>
  <si>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</si>
  <si>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</si>
  <si>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</si>
  <si>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</si>
  <si>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</si>
  <si>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</si>
  <si>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</si>
  <si>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</si>
  <si>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</si>
  <si>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</si>
  <si>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</si>
  <si>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</si>
  <si>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</si>
  <si>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</si>
  <si>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</si>
  <si>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</si>
  <si>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</si>
  <si>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</si>
  <si>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</si>
  <si>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</si>
  <si>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</si>
  <si>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</si>
  <si>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</si>
  <si>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</si>
  <si>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</si>
  <si>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</si>
  <si>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</si>
  <si>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</si>
  <si>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</si>
  <si>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</si>
  <si>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</si>
  <si>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</si>
  <si>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</si>
  <si>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</si>
  <si>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</si>
  <si>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</si>
  <si>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</si>
  <si>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</si>
  <si>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</si>
  <si>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</si>
  <si>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</si>
  <si>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</si>
  <si>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</si>
  <si>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</si>
  <si>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</si>
  <si>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</si>
  <si>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</si>
  <si>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</si>
  <si>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</si>
  <si>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</si>
  <si>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</si>
  <si>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</si>
  <si>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</si>
  <si>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</si>
  <si>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</si>
  <si>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</si>
  <si>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</si>
  <si>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</si>
  <si>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</si>
  <si>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</si>
  <si>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</si>
  <si>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</si>
  <si>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</si>
  <si>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</si>
  <si>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</si>
  <si>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</si>
  <si>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</si>
  <si>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</si>
  <si>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</si>
  <si>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</si>
  <si>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</si>
  <si>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</si>
  <si>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</si>
  <si>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</si>
  <si>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</si>
  <si>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</si>
  <si>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</si>
  <si>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</si>
  <si>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</si>
  <si>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</si>
  <si>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</si>
  <si>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</si>
  <si>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</si>
  <si>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</si>
  <si>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</si>
  <si>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</si>
  <si>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</si>
  <si>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</si>
  <si>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</si>
  <si>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</si>
  <si>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</si>
  <si>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</si>
  <si>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</si>
  <si>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</si>
  <si>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</si>
  <si>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</si>
  <si>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</si>
  <si>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</si>
  <si>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</si>
  <si>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</si>
  <si>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</si>
  <si>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</si>
  <si>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</si>
  <si>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</si>
  <si>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</si>
  <si>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</si>
  <si>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</si>
  <si>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</si>
  <si>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</si>
  <si>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</si>
  <si>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</si>
  <si>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</si>
  <si>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</si>
  <si>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</si>
  <si>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</si>
  <si>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</si>
  <si>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</si>
  <si>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</si>
  <si>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</si>
  <si>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</si>
  <si>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</si>
  <si>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</si>
  <si>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</si>
  <si>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</si>
  <si>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</si>
  <si>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</si>
  <si>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</si>
  <si>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</si>
  <si>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</si>
  <si>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</si>
  <si>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</si>
  <si>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</si>
  <si>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</si>
  <si>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</si>
  <si>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</si>
  <si>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</si>
  <si>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</si>
  <si>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</si>
  <si>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</si>
  <si>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</si>
  <si>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</si>
  <si>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</si>
  <si>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</si>
  <si>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</si>
  <si>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</si>
  <si>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</si>
  <si>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</si>
  <si>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</si>
  <si>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</si>
  <si>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</si>
  <si>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</si>
  <si>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</si>
  <si>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</si>
  <si>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</si>
  <si>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</si>
  <si>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</si>
  <si>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</si>
  <si>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</si>
  <si>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</si>
  <si>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</si>
  <si>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</si>
  <si>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</si>
  <si>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</si>
  <si>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</si>
  <si>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</si>
  <si>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</si>
  <si>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</si>
  <si>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</si>
  <si>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</si>
  <si>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</si>
  <si>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</si>
  <si>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</si>
  <si>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</si>
  <si>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</si>
  <si>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</si>
  <si>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</si>
  <si>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</si>
  <si>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</si>
  <si>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</si>
  <si>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</si>
  <si>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</si>
  <si>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</si>
  <si>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</si>
  <si>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</si>
  <si>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</si>
  <si>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</si>
  <si>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</si>
  <si>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</si>
  <si>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</si>
  <si>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</si>
  <si>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</si>
  <si>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</si>
  <si>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</si>
  <si>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</si>
  <si>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</si>
  <si>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</si>
  <si>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</si>
  <si>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</si>
  <si>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</si>
  <si>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</si>
  <si>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</si>
  <si>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</si>
  <si>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</si>
  <si>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</si>
  <si>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</si>
  <si>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</si>
  <si>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</si>
  <si>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</si>
  <si>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</si>
  <si>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</si>
  <si>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</si>
  <si>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</si>
  <si>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</si>
  <si>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</si>
  <si>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</si>
  <si>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</si>
  <si>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</si>
  <si>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</si>
  <si>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</si>
  <si>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</si>
  <si>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</si>
  <si>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</si>
  <si>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</si>
  <si>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</si>
  <si>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</si>
  <si>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</si>
  <si>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</si>
  <si>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</si>
  <si>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</si>
  <si>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</si>
  <si>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</si>
  <si>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</si>
  <si>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</si>
  <si>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</si>
  <si>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</si>
  <si>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</si>
  <si>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</si>
  <si>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</si>
  <si>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</si>
  <si>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</si>
  <si>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</si>
  <si>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</si>
  <si>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</si>
  <si>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</si>
  <si>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</si>
  <si>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</si>
  <si>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</si>
  <si>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</si>
  <si>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</si>
  <si>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</si>
  <si>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</si>
  <si>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</si>
  <si>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</si>
  <si>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</si>
  <si>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</si>
  <si>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</si>
  <si>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</si>
  <si>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</si>
  <si>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</si>
  <si>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</si>
  <si>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</si>
  <si>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</si>
  <si>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</si>
  <si>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</si>
  <si>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</si>
  <si>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</si>
  <si>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</si>
  <si>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</si>
  <si>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</si>
  <si>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</si>
  <si>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</si>
  <si>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</si>
  <si>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</si>
  <si>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</si>
  <si>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</si>
  <si>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</si>
  <si>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</si>
  <si>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</si>
  <si>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</si>
  <si>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</si>
  <si>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</si>
  <si>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</si>
  <si>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</si>
  <si>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</si>
  <si>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</si>
  <si>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</si>
  <si>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</si>
  <si>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</si>
  <si>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</si>
  <si>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</si>
  <si>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</si>
  <si>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</si>
  <si>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</si>
  <si>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</si>
  <si>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</si>
  <si>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</si>
  <si>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</si>
  <si>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</si>
  <si>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</si>
  <si>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</si>
  <si>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</si>
  <si>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</si>
  <si>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</si>
  <si>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</si>
  <si>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</si>
  <si>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</si>
  <si>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</si>
  <si>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</si>
  <si>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</si>
  <si>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</si>
  <si>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</si>
  <si>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</si>
  <si>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</si>
  <si>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</si>
  <si>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</si>
  <si>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</si>
  <si>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</si>
  <si>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</si>
  <si>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</si>
  <si>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</si>
  <si>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</si>
  <si>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</si>
  <si>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</si>
  <si>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</si>
  <si>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</si>
  <si>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</si>
  <si>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</si>
  <si>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</si>
  <si>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</si>
  <si>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</si>
  <si>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</si>
  <si>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</si>
  <si>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</si>
  <si>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</si>
  <si>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</si>
  <si>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</si>
  <si>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</si>
  <si>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</si>
  <si>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</si>
  <si>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</si>
  <si>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</si>
  <si>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</si>
  <si>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</si>
  <si>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</si>
  <si>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</si>
  <si>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</si>
  <si>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</si>
  <si>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</si>
  <si>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</si>
  <si>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</si>
  <si>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</si>
  <si>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</si>
  <si>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</si>
  <si>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</si>
  <si>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</si>
  <si>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</si>
  <si>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</si>
  <si>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</si>
  <si>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</si>
  <si>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</si>
  <si>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</si>
  <si>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</si>
  <si>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</si>
  <si>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</si>
  <si>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</si>
  <si>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</si>
  <si>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</si>
  <si>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</si>
  <si>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</si>
  <si>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</si>
  <si>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</si>
  <si>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</si>
  <si>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</si>
  <si>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</si>
  <si>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</si>
  <si>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</si>
  <si>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</si>
  <si>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</si>
  <si>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</si>
  <si>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</si>
  <si>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</si>
  <si>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</si>
  <si>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</si>
  <si>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</si>
  <si>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</si>
  <si>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</si>
  <si>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</si>
  <si>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</si>
  <si>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</si>
  <si>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</si>
  <si>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</si>
  <si>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</si>
  <si>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</si>
  <si>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</si>
  <si>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</si>
  <si>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</si>
  <si>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</si>
  <si>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</si>
  <si>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</si>
  <si>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</si>
  <si>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</si>
  <si>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</si>
  <si>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</si>
  <si>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</si>
  <si>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</si>
  <si>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</si>
  <si>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</si>
  <si>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</si>
  <si>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</si>
  <si>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</si>
  <si>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</si>
  <si>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</si>
  <si>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</si>
  <si>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</si>
  <si>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</si>
  <si>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</si>
  <si>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</si>
  <si>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</si>
  <si>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</si>
  <si>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</si>
  <si>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</si>
  <si>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</si>
  <si>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</si>
  <si>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</si>
  <si>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</si>
  <si>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</si>
  <si>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</si>
  <si>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</si>
  <si>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</si>
  <si>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</si>
  <si>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</si>
  <si>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</si>
  <si>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</si>
  <si>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</si>
  <si>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</si>
  <si>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</si>
  <si>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</si>
  <si>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</si>
  <si>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</si>
  <si>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</si>
  <si>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</si>
  <si>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</si>
  <si>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</si>
  <si>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</si>
  <si>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</si>
  <si>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</si>
  <si>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</si>
  <si>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</si>
  <si>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</si>
  <si>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</si>
  <si>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</si>
  <si>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</si>
  <si>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</si>
  <si>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</si>
  <si>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</si>
  <si>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</si>
  <si>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</si>
  <si>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</si>
  <si>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</si>
  <si>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</si>
  <si>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</si>
  <si>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</si>
  <si>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</si>
  <si>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</si>
  <si>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</si>
  <si>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</si>
  <si>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</si>
  <si>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</si>
  <si>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</si>
  <si>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</si>
  <si>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</si>
  <si>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</si>
  <si>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</si>
  <si>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</si>
  <si>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</si>
  <si>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</si>
  <si>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</si>
  <si>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</si>
  <si>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</si>
  <si>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</si>
  <si>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</si>
  <si>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</si>
  <si>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</si>
  <si>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</si>
  <si>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</si>
  <si>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</si>
  <si>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</si>
  <si>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</si>
  <si>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</si>
  <si>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</si>
  <si>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</si>
  <si>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</si>
  <si>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</si>
  <si>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</si>
  <si>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</si>
  <si>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</si>
  <si>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</si>
  <si>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</si>
  <si>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</si>
  <si>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</si>
  <si>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</si>
  <si>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</si>
  <si>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</si>
  <si>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</si>
  <si>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</si>
  <si>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</si>
  <si>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</si>
  <si>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</si>
  <si>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</si>
  <si>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</si>
  <si>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</si>
  <si>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</si>
  <si>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</si>
  <si>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</si>
  <si>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</si>
  <si>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</si>
  <si>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</si>
  <si>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</si>
  <si>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</si>
  <si>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</si>
  <si>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</si>
  <si>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</si>
  <si>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</si>
  <si>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</si>
  <si>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</si>
  <si>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</si>
  <si>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</si>
  <si>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</si>
  <si>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</si>
  <si>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</si>
  <si>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</si>
  <si>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</si>
  <si>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</si>
  <si>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</si>
  <si>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</si>
  <si>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</si>
  <si>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</si>
  <si>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</si>
  <si>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</si>
  <si>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</si>
  <si>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</si>
  <si>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</si>
  <si>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</si>
  <si>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</si>
  <si>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</si>
  <si>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</si>
  <si>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</si>
  <si>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</si>
  <si>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</si>
  <si>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</si>
  <si>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</si>
  <si>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</si>
  <si>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</si>
  <si>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</si>
  <si>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</si>
  <si>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</si>
  <si>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</si>
  <si>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</si>
  <si>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</si>
  <si>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</si>
  <si>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</si>
  <si>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</si>
  <si>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</si>
  <si>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</si>
  <si>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</si>
  <si>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</si>
  <si>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</si>
  <si>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</si>
  <si>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</si>
  <si>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</si>
  <si>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</si>
  <si>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</si>
  <si>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</si>
  <si>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</si>
  <si>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</si>
  <si>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</si>
  <si>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</si>
  <si>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</si>
  <si>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</si>
  <si>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</si>
  <si>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</si>
  <si>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</si>
  <si>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</si>
  <si>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</si>
  <si>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</si>
  <si>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</si>
  <si>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</si>
  <si>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</si>
  <si>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</si>
  <si>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</si>
  <si>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</si>
  <si>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</si>
  <si>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</si>
  <si>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</si>
  <si>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</si>
  <si>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</si>
  <si>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</si>
  <si>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</si>
  <si>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</si>
  <si>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</si>
  <si>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</si>
  <si>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</si>
  <si>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</si>
  <si>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</si>
  <si>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</si>
  <si>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</si>
  <si>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</si>
  <si>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</si>
  <si>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</si>
  <si>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</si>
  <si>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</si>
  <si>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</si>
  <si>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</si>
  <si>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</si>
  <si>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</si>
  <si>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</si>
  <si>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</si>
  <si>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</si>
  <si>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</si>
  <si>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</si>
  <si>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</si>
  <si>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</si>
  <si>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</si>
  <si>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</si>
  <si>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</si>
  <si>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</si>
  <si>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</si>
  <si>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</si>
  <si>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</si>
  <si>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</si>
  <si>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</si>
  <si>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</si>
  <si>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</si>
  <si>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</si>
  <si>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</si>
  <si>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</si>
  <si>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</si>
  <si>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</si>
  <si>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</si>
  <si>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</si>
  <si>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</si>
  <si>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</si>
  <si>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</si>
  <si>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</si>
  <si>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</si>
  <si>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</si>
  <si>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</si>
  <si>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</si>
  <si>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</si>
  <si>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</si>
  <si>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</si>
  <si>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</si>
  <si>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</si>
  <si>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</si>
  <si>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</si>
  <si>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</si>
  <si>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</si>
  <si>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</si>
  <si>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</si>
  <si>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</si>
  <si>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</si>
  <si>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</si>
  <si>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</si>
  <si>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</si>
  <si>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</si>
  <si>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</si>
  <si>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</si>
  <si>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</si>
  <si>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</si>
  <si>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</si>
  <si>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</si>
  <si>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</si>
  <si>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</si>
  <si>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</si>
  <si>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</si>
  <si>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</si>
  <si>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</si>
  <si>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</si>
  <si>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</si>
  <si>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</si>
  <si>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</si>
  <si>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</si>
  <si>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</si>
  <si>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</si>
  <si>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</si>
  <si>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</si>
  <si>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</si>
  <si>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</si>
  <si>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</si>
  <si>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</si>
  <si>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</si>
  <si>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</si>
  <si>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</si>
  <si>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</si>
  <si>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</si>
  <si>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</si>
  <si>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</si>
  <si>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</si>
  <si>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</si>
  <si>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</si>
  <si>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</si>
  <si>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</si>
  <si>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</si>
  <si>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</si>
  <si>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</si>
  <si>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</si>
  <si>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</si>
  <si>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</si>
  <si>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</si>
  <si>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</si>
  <si>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</si>
  <si>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</si>
  <si>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</si>
  <si>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</si>
  <si>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</si>
  <si>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</si>
  <si>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</si>
  <si>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</si>
  <si>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</si>
  <si>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</si>
  <si>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</si>
  <si>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</si>
  <si>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</si>
  <si>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</si>
  <si>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</si>
  <si>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</si>
  <si>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</si>
  <si>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</si>
  <si>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</si>
  <si>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</si>
  <si>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</si>
  <si>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</si>
  <si>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</si>
  <si>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</si>
  <si>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</si>
  <si>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</si>
  <si>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</si>
  <si>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</si>
  <si>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</si>
  <si>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</si>
  <si>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</si>
  <si>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</si>
  <si>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</si>
  <si>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</si>
  <si>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</si>
  <si>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</si>
  <si>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</si>
  <si>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</si>
  <si>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</si>
  <si>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</si>
  <si>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</si>
  <si>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</si>
  <si>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</si>
  <si>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</si>
  <si>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</si>
  <si>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</si>
  <si>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</si>
  <si>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</si>
  <si>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</si>
  <si>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</si>
  <si>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</si>
  <si>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</si>
  <si>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</si>
  <si>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</si>
  <si>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</si>
  <si>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</si>
  <si>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</si>
  <si>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</si>
  <si>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</si>
  <si>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</si>
  <si>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</si>
  <si>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</si>
  <si>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</si>
  <si>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</si>
  <si>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</si>
  <si>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</si>
  <si>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</si>
  <si>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</si>
  <si>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</si>
  <si>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</si>
  <si>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</si>
  <si>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</si>
  <si>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</si>
  <si>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</si>
  <si>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</si>
  <si>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</si>
  <si>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</si>
  <si>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</si>
  <si>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</si>
  <si>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</si>
  <si>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</si>
  <si>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</si>
  <si>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</si>
  <si>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</si>
  <si>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</si>
  <si>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</si>
  <si>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</si>
  <si>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</si>
  <si>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</si>
  <si>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</si>
  <si>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</si>
  <si>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</si>
  <si>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</si>
  <si>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</si>
  <si>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</si>
  <si>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</si>
  <si>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</si>
  <si>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</si>
  <si>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</si>
  <si>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</si>
  <si>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</si>
  <si>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</si>
  <si>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</si>
  <si>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</si>
  <si>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</si>
  <si>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</si>
  <si>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</si>
  <si>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</si>
  <si>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</si>
  <si>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</si>
  <si>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</si>
  <si>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</si>
  <si>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</si>
  <si>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</si>
  <si>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</si>
  <si>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</si>
  <si>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</si>
  <si>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</si>
  <si>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</si>
  <si>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</si>
  <si>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</si>
  <si>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</si>
  <si>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</si>
  <si>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</si>
  <si>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</si>
  <si>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</si>
  <si>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</si>
  <si>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</si>
  <si>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</si>
  <si>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</si>
  <si>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</si>
  <si>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</si>
  <si>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</si>
  <si>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</si>
  <si>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</si>
  <si>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</si>
  <si>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</si>
  <si>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</si>
  <si>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</si>
  <si>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</si>
  <si>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</si>
  <si>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</si>
  <si>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</si>
  <si>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</si>
  <si>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</si>
  <si>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</si>
  <si>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</si>
  <si>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</si>
  <si>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</si>
  <si>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</si>
  <si>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</si>
  <si>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</si>
  <si>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</si>
  <si>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</si>
  <si>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</si>
  <si>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</si>
  <si>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</si>
  <si>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</si>
  <si>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</si>
  <si>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</si>
  <si>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</si>
  <si>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</si>
  <si>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</si>
  <si>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</si>
  <si>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</si>
  <si>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</si>
  <si>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</si>
  <si>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</si>
  <si>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</si>
  <si>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</si>
  <si>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</si>
  <si>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</si>
  <si>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</si>
  <si>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</si>
  <si>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</si>
  <si>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</si>
  <si>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</si>
  <si>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</si>
  <si>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</si>
  <si>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</si>
  <si>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</si>
  <si>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</si>
  <si>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</si>
  <si>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</si>
  <si>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</si>
  <si>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</si>
  <si>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</si>
  <si>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</si>
  <si>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</si>
  <si>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</si>
  <si>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</si>
  <si>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</si>
  <si>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</si>
  <si>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</si>
  <si>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</si>
  <si>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</si>
  <si>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</si>
  <si>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</si>
  <si>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</si>
  <si>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</si>
  <si>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</si>
  <si>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</si>
  <si>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</si>
  <si>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</si>
  <si>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</si>
  <si>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</si>
  <si>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</si>
  <si>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</si>
  <si>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</si>
  <si>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</si>
  <si>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</si>
  <si>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</si>
  <si>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</si>
  <si>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</si>
  <si>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</si>
  <si>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</si>
  <si>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</si>
  <si>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</si>
  <si>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</si>
  <si>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</si>
  <si>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</si>
  <si>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</si>
  <si>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</si>
  <si>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</si>
  <si>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</si>
  <si>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</si>
  <si>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</si>
  <si>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</si>
  <si>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</si>
  <si>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</si>
  <si>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</si>
  <si>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</si>
  <si>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</si>
  <si>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</si>
  <si>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</si>
  <si>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</si>
  <si>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</si>
  <si>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</si>
  <si>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</si>
  <si>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</si>
  <si>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</si>
  <si>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</si>
  <si>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</si>
  <si>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</si>
  <si>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</si>
  <si>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</si>
  <si>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</si>
  <si>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</si>
  <si>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</si>
  <si>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</si>
  <si>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</si>
  <si>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</si>
  <si>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</si>
  <si>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</si>
  <si>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</si>
  <si>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</si>
  <si>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</si>
  <si>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</si>
  <si>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</si>
  <si>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</si>
  <si>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</si>
  <si>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</si>
  <si>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</si>
  <si>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</si>
  <si>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</si>
  <si>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</si>
  <si>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</si>
  <si>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</si>
  <si>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</si>
  <si>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</si>
  <si>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</si>
  <si>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</si>
  <si>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</si>
  <si>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</si>
  <si>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</si>
  <si>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</si>
  <si>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</si>
  <si>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</si>
  <si>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</si>
  <si>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</si>
  <si>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</si>
  <si>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</si>
  <si>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</si>
  <si>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</si>
  <si>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</si>
  <si>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</si>
  <si>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</si>
  <si>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</si>
  <si>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</si>
  <si>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</si>
  <si>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</si>
  <si>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</si>
  <si>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</si>
  <si>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</si>
  <si>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</si>
  <si>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</si>
  <si>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</si>
  <si>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</si>
  <si>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</si>
  <si>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</si>
  <si>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</si>
  <si>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</si>
  <si>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</si>
  <si>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</si>
  <si>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</si>
  <si>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</si>
  <si>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</si>
  <si>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</si>
  <si>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</si>
  <si>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</si>
  <si>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</si>
  <si>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</si>
  <si>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</si>
  <si>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</si>
  <si>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</si>
  <si>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</si>
  <si>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</si>
  <si>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</si>
  <si>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</si>
  <si>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</si>
  <si>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</si>
  <si>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</si>
  <si>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</si>
  <si>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</si>
  <si>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</si>
  <si>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</si>
  <si>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</si>
  <si>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</si>
  <si>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</si>
  <si>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</si>
  <si>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</si>
  <si>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</si>
  <si>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</si>
  <si>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</si>
  <si>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</si>
  <si>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</si>
  <si>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</si>
  <si>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</si>
  <si>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</si>
  <si>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</si>
  <si>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</si>
  <si>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</si>
  <si>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</si>
  <si>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</si>
  <si>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</si>
  <si>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</si>
  <si>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</si>
  <si>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</si>
  <si>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</si>
  <si>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</si>
  <si>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</si>
  <si>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</si>
  <si>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</si>
  <si>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</si>
  <si>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</si>
  <si>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</si>
  <si>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</si>
  <si>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</si>
  <si>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</si>
  <si>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</si>
  <si>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</si>
  <si>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</si>
  <si>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</si>
  <si>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</si>
  <si>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</si>
  <si>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</si>
  <si>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</si>
  <si>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</si>
  <si>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</si>
  <si>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</si>
  <si>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</si>
  <si>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</si>
  <si>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</si>
  <si>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</si>
  <si>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</si>
  <si>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</si>
  <si>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</si>
  <si>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</si>
  <si>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</si>
  <si>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</si>
  <si>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</si>
  <si>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</si>
  <si>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</si>
  <si>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</si>
  <si>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</si>
  <si>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</si>
  <si>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</si>
  <si>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</si>
  <si>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</si>
  <si>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</si>
  <si>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</si>
  <si>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</si>
  <si>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</si>
  <si>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</si>
  <si>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</si>
  <si>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</si>
  <si>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</si>
  <si>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</si>
  <si>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</si>
  <si>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</si>
  <si>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</si>
  <si>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</si>
  <si>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</si>
  <si>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</si>
  <si>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</si>
  <si>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</si>
  <si>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</si>
  <si>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</si>
  <si>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</si>
  <si>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</si>
  <si>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</si>
  <si>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</si>
  <si>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</si>
  <si>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</si>
  <si>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</si>
  <si>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</si>
  <si>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</si>
  <si>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</si>
  <si>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</si>
  <si>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</si>
  <si>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</si>
  <si>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</si>
  <si>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</si>
  <si>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</si>
  <si>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</si>
  <si>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</si>
  <si>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</si>
  <si>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</si>
  <si>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</si>
  <si>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</si>
  <si>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</si>
  <si>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</si>
  <si>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</si>
  <si>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</si>
  <si>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</si>
  <si>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</si>
  <si>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</si>
  <si>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</si>
  <si>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</si>
  <si>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</si>
  <si>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</si>
  <si>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</si>
  <si>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</si>
  <si>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</si>
  <si>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</si>
  <si>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</si>
  <si>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</si>
  <si>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</si>
  <si>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</si>
  <si>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</si>
  <si>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</si>
  <si>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</si>
  <si>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</si>
  <si>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</si>
  <si>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</si>
  <si>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</si>
  <si>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</si>
  <si>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</si>
  <si>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</si>
  <si>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</si>
  <si>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</si>
  <si>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</si>
  <si>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</si>
  <si>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</si>
  <si>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</si>
  <si>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</si>
  <si>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</si>
  <si>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</si>
  <si>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</si>
  <si>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</si>
  <si>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</si>
  <si>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</si>
  <si>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</si>
  <si>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</si>
  <si>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</si>
  <si>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</si>
  <si>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</si>
  <si>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</si>
  <si>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</si>
  <si>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</si>
  <si>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</si>
  <si>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</si>
  <si>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</si>
  <si>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</si>
  <si>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</si>
  <si>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</si>
  <si>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</si>
  <si>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</si>
  <si>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</si>
  <si>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</si>
  <si>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</si>
  <si>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</si>
  <si>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</si>
  <si>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</si>
  <si>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</si>
  <si>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</si>
  <si>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</si>
  <si>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</si>
  <si>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</si>
  <si>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</si>
  <si>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</si>
  <si>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</si>
  <si>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</si>
  <si>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</si>
  <si>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</si>
  <si>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</si>
  <si>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</si>
  <si>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</si>
  <si>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</si>
  <si>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</si>
  <si>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</si>
  <si>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</si>
  <si>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</si>
  <si>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</si>
  <si>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</si>
  <si>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</si>
  <si>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</si>
  <si>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</si>
  <si>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</si>
  <si>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</si>
  <si>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</si>
  <si>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</si>
  <si>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</si>
  <si>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</si>
  <si>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</si>
  <si>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</si>
  <si>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</si>
  <si>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</si>
  <si>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</si>
  <si>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</si>
  <si>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</si>
  <si>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</si>
  <si>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</si>
  <si>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</si>
  <si>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</si>
  <si>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</si>
  <si>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</si>
  <si>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</si>
  <si>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</si>
  <si>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</si>
  <si>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</si>
  <si>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</si>
  <si>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</si>
  <si>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</si>
  <si>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</si>
  <si>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</si>
  <si>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</si>
  <si>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</si>
  <si>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</si>
  <si>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</si>
  <si>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</si>
  <si>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</si>
  <si>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</si>
  <si>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</si>
  <si>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</si>
  <si>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</si>
  <si>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</si>
  <si>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</si>
  <si>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</si>
  <si>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</si>
  <si>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</si>
  <si>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</si>
  <si>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</si>
  <si>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</si>
  <si>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</si>
  <si>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</si>
  <si>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</si>
  <si>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</si>
  <si>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</si>
  <si>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</si>
  <si>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</si>
  <si>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</si>
  <si>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</si>
  <si>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</si>
  <si>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</si>
  <si>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</si>
  <si>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</si>
  <si>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</si>
  <si>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</si>
  <si>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</si>
  <si>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</si>
  <si>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</si>
  <si>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</si>
  <si>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</si>
  <si>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</si>
  <si>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</si>
  <si>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</si>
  <si>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</si>
  <si>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</si>
  <si>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</si>
  <si>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</si>
  <si>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</si>
  <si>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</si>
  <si>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</si>
  <si>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</si>
  <si>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</si>
  <si>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</si>
  <si>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</si>
  <si>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</si>
  <si>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</si>
  <si>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</si>
  <si>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</si>
  <si>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</si>
  <si>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</si>
  <si>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</si>
  <si>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</si>
  <si>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</si>
  <si>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</si>
  <si>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</si>
  <si>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</si>
  <si>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</si>
  <si>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</si>
  <si>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</si>
  <si>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</si>
  <si>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</si>
  <si>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</si>
  <si>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</si>
  <si>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</si>
  <si>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</si>
  <si>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</si>
  <si>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</si>
  <si>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</si>
  <si>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</si>
  <si>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</si>
  <si>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</si>
  <si>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</si>
  <si>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</si>
  <si>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</si>
  <si>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</si>
  <si>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</si>
  <si>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</si>
  <si>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</si>
  <si>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</si>
  <si>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</si>
  <si>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</si>
  <si>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</si>
  <si>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</si>
  <si>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</si>
  <si>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</si>
  <si>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</si>
  <si>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</si>
  <si>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</si>
  <si>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</si>
  <si>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</si>
  <si>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</si>
  <si>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</si>
  <si>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</si>
  <si>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</si>
  <si>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</si>
  <si>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</si>
  <si>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</si>
  <si>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</si>
  <si>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</si>
  <si>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</si>
  <si>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</si>
  <si>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</si>
  <si>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</si>
  <si>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</si>
  <si>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</si>
  <si>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</si>
  <si>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</si>
  <si>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</si>
  <si>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</si>
  <si>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</si>
  <si>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</si>
  <si>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</si>
  <si>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</si>
  <si>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</si>
  <si>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</si>
  <si>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</si>
  <si>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</si>
  <si>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</si>
  <si>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</si>
  <si>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</si>
  <si>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</si>
  <si>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</si>
  <si>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</si>
  <si>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</si>
  <si>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</si>
  <si>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</si>
  <si>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</si>
  <si>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</si>
  <si>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</si>
  <si>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</si>
  <si>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</si>
  <si>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</si>
  <si>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</si>
  <si>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</si>
  <si>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</si>
  <si>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</si>
  <si>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</si>
  <si>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</si>
  <si>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</si>
  <si>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</si>
  <si>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</si>
  <si>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</si>
  <si>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</si>
  <si>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</si>
  <si>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</si>
  <si>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</si>
  <si>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</si>
  <si>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</si>
  <si>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</si>
  <si>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</si>
  <si>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</si>
  <si>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</si>
  <si>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</si>
  <si>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</si>
  <si>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</si>
  <si>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</si>
  <si>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</si>
  <si>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</si>
  <si>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</si>
  <si>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</si>
  <si>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</si>
  <si>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</si>
  <si>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</si>
  <si>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</si>
  <si>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</si>
  <si>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</si>
  <si>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</si>
  <si>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</si>
  <si>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</si>
  <si>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</si>
  <si>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</si>
  <si>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</si>
  <si>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</si>
  <si>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</si>
  <si>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</si>
  <si>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</si>
  <si>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</si>
  <si>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</si>
  <si>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</si>
  <si>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</si>
  <si>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</si>
  <si>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</si>
  <si>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</si>
  <si>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</si>
  <si>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</si>
  <si>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</si>
  <si>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</si>
  <si>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</si>
  <si>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</si>
  <si>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</si>
  <si>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</si>
  <si>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</si>
  <si>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</si>
  <si>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</si>
  <si>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</si>
  <si>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</si>
  <si>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</si>
  <si>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</si>
  <si>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</si>
  <si>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</si>
  <si>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</si>
  <si>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</si>
  <si>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</si>
  <si>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</si>
  <si>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</si>
  <si>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</si>
  <si>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</si>
  <si>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</si>
  <si>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</si>
  <si>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</si>
  <si>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</si>
  <si>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</si>
  <si>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</si>
  <si>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</si>
  <si>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</si>
  <si>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</si>
  <si>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</si>
  <si>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</si>
  <si>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</si>
  <si>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</si>
  <si>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</si>
  <si>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</si>
  <si>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</si>
  <si>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</si>
  <si>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</si>
  <si>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</si>
  <si>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</si>
  <si>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</si>
  <si>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</si>
  <si>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</si>
  <si>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</si>
  <si>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</si>
  <si>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</si>
  <si>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</si>
  <si>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</si>
  <si>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</si>
  <si>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</si>
  <si>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</si>
  <si>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</si>
  <si>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</si>
  <si>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</si>
  <si>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</si>
  <si>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</si>
  <si>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</si>
  <si>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</si>
  <si>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</si>
  <si>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</si>
  <si>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</si>
  <si>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</si>
  <si>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</si>
  <si>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</si>
  <si>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</si>
  <si>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</si>
  <si>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</si>
  <si>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</si>
  <si>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</si>
  <si>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</si>
  <si>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</si>
  <si>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</si>
  <si>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</si>
  <si>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</si>
  <si>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</si>
  <si>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</si>
  <si>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</si>
  <si>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</si>
  <si>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</si>
  <si>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</si>
  <si>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</si>
  <si>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</si>
  <si>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</si>
  <si>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</si>
  <si>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</si>
  <si>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</si>
  <si>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</si>
  <si>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</si>
  <si>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</si>
  <si>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</si>
  <si>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</si>
  <si>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</si>
  <si>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</si>
  <si>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</si>
  <si>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</si>
  <si>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</si>
  <si>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</si>
  <si>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</si>
  <si>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</si>
  <si>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</si>
  <si>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</si>
  <si>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</si>
  <si>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</si>
  <si>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</si>
  <si>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</si>
  <si>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</si>
  <si>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</si>
  <si>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</si>
  <si>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</si>
  <si>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</si>
  <si>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</si>
  <si>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</si>
  <si>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</si>
  <si>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</si>
  <si>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</si>
  <si>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</si>
  <si>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</si>
  <si>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</si>
  <si>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</si>
  <si>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</si>
  <si>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</si>
  <si>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</si>
  <si>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</si>
  <si>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</si>
  <si>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</si>
  <si>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</si>
  <si>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</si>
  <si>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</si>
  <si>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</si>
  <si>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</si>
  <si>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</si>
  <si>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</si>
  <si>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</si>
  <si>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</si>
  <si>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</si>
  <si>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</si>
  <si>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</si>
  <si>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</si>
  <si>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</si>
  <si>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</si>
  <si>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</si>
  <si>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</si>
  <si>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</si>
  <si>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</si>
  <si>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</si>
  <si>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</si>
  <si>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</si>
  <si>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</si>
  <si>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</si>
  <si>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</si>
  <si>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</si>
  <si>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</si>
  <si>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</si>
  <si>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</si>
  <si>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</si>
  <si>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</si>
  <si>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</si>
  <si>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</si>
  <si>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</si>
  <si>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</si>
  <si>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</si>
  <si>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</si>
  <si>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</si>
  <si>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</si>
  <si>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</si>
  <si>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</si>
  <si>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</si>
  <si>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</si>
  <si>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</si>
  <si>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</si>
  <si>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</si>
  <si>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</si>
  <si>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</si>
  <si>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</si>
  <si>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</si>
  <si>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</si>
  <si>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</si>
  <si>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</si>
  <si>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</si>
  <si>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</si>
  <si>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</si>
  <si>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</si>
  <si>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</si>
  <si>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</si>
  <si>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</si>
  <si>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</si>
  <si>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</si>
  <si>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</si>
  <si>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</si>
  <si>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</si>
  <si>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</si>
  <si>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</si>
  <si>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</si>
  <si>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</si>
  <si>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</si>
  <si>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</si>
  <si>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</si>
  <si>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</si>
  <si>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</si>
  <si>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</si>
  <si>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</si>
  <si>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</si>
  <si>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</si>
  <si>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</si>
  <si>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</si>
  <si>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</si>
  <si>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</si>
  <si>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</si>
  <si>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</si>
  <si>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</si>
  <si>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</si>
  <si>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</si>
  <si>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</si>
  <si>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</si>
  <si>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</si>
  <si>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</si>
  <si>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</si>
  <si>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</si>
  <si>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</si>
  <si>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</si>
  <si>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</si>
  <si>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</si>
  <si>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</si>
  <si>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</si>
  <si>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</si>
  <si>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</si>
  <si>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</si>
  <si>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</si>
  <si>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</si>
  <si>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</si>
  <si>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</si>
  <si>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</si>
  <si>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</si>
  <si>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</si>
  <si>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</si>
  <si>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</si>
  <si>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</si>
  <si>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</si>
  <si>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</si>
  <si>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</si>
  <si>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</si>
  <si>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</si>
  <si>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</si>
  <si>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</si>
  <si>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</si>
  <si>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</si>
  <si>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</si>
  <si>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</si>
  <si>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</si>
  <si>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</si>
  <si>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</si>
  <si>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</si>
  <si>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</si>
  <si>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</si>
  <si>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</si>
  <si>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</si>
  <si>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</si>
  <si>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</si>
  <si>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</si>
  <si>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</si>
  <si>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</si>
  <si>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</si>
  <si>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</si>
  <si>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</si>
  <si>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</si>
  <si>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</si>
  <si>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</si>
  <si>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</si>
  <si>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</si>
  <si>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</si>
  <si>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</si>
  <si>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</si>
  <si>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</si>
  <si>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</si>
  <si>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</si>
  <si>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</si>
  <si>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</si>
  <si>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</si>
  <si>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</si>
  <si>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</si>
  <si>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</si>
  <si>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</si>
  <si>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</si>
  <si>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</si>
  <si>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</si>
  <si>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</si>
  <si>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</si>
  <si>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</si>
  <si>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</si>
  <si>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</si>
  <si>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</si>
  <si>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</si>
  <si>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</si>
  <si>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</si>
  <si>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</si>
  <si>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</si>
  <si>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</si>
  <si>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</si>
  <si>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</si>
  <si>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</si>
  <si>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</si>
  <si>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</si>
  <si>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</si>
  <si>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</si>
  <si>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</si>
  <si>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</si>
  <si>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</si>
  <si>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</si>
  <si>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</si>
  <si>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</si>
  <si>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</si>
  <si>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</si>
  <si>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</si>
  <si>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</si>
  <si>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</si>
  <si>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</si>
  <si>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</si>
  <si>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</si>
  <si>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</si>
  <si>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</si>
  <si>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</si>
  <si>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</si>
  <si>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</si>
  <si>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</si>
  <si>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</si>
  <si>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</si>
  <si>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</si>
  <si>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</si>
  <si>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</si>
  <si>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</si>
  <si>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</si>
  <si>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</si>
  <si>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</si>
  <si>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</si>
  <si>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</si>
  <si>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</si>
  <si>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</si>
  <si>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</si>
  <si>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</si>
  <si>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</si>
  <si>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</si>
  <si>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</si>
  <si>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</si>
  <si>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</si>
  <si>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</si>
  <si>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</si>
  <si>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</si>
  <si>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</si>
  <si>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</si>
  <si>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</si>
  <si>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</si>
  <si>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</si>
  <si>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</si>
  <si>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</si>
  <si>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</si>
  <si>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</si>
  <si>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</si>
  <si>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</si>
  <si>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</si>
  <si>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</si>
  <si>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</si>
  <si>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</si>
  <si>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</si>
  <si>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</si>
  <si>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</si>
  <si>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</si>
  <si>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</si>
  <si>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</si>
  <si>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</si>
  <si>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</si>
  <si>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</si>
  <si>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</si>
  <si>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</si>
  <si>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</si>
  <si>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</si>
  <si>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</si>
  <si>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</si>
  <si>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</si>
  <si>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</si>
  <si>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</si>
  <si>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</si>
  <si>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</si>
  <si>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</si>
  <si>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</si>
  <si>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</si>
  <si>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</si>
  <si>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</si>
  <si>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</si>
  <si>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</si>
  <si>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</si>
  <si>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</si>
  <si>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</si>
  <si>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</si>
  <si>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</si>
  <si>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</si>
  <si>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</si>
  <si>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</si>
  <si>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</si>
  <si>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</si>
  <si>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</si>
  <si>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</si>
  <si>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</si>
  <si>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</si>
  <si>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</si>
  <si>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</si>
  <si>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</si>
  <si>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</si>
  <si>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</si>
  <si>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</si>
  <si>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</si>
  <si>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</si>
  <si>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</si>
  <si>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</si>
  <si>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</si>
  <si>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</si>
  <si>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</si>
  <si>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</si>
  <si>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</si>
  <si>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</si>
  <si>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</si>
  <si>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</si>
  <si>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</si>
  <si>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</si>
  <si>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</si>
  <si>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</si>
  <si>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</si>
  <si>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</si>
  <si>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</si>
  <si>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</si>
  <si>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</si>
  <si>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</si>
  <si>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</si>
  <si>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</si>
  <si>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</si>
  <si>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</si>
  <si>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</si>
  <si>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</si>
  <si>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</si>
  <si>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</si>
  <si>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</si>
  <si>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</si>
  <si>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</si>
  <si>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</si>
  <si>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</si>
  <si>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</si>
  <si>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</si>
  <si>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</si>
  <si>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</si>
  <si>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</si>
  <si>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</si>
  <si>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</si>
  <si>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</si>
  <si>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</si>
  <si>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</si>
  <si>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</si>
  <si>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</si>
  <si>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</si>
  <si>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</si>
  <si>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</si>
  <si>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</si>
  <si>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</si>
  <si>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</si>
  <si>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</si>
  <si>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</si>
  <si>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</si>
  <si>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</si>
  <si>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</si>
  <si>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</si>
  <si>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</si>
  <si>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</si>
  <si>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</si>
  <si>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</si>
  <si>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</si>
  <si>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</si>
  <si>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</si>
  <si>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</si>
  <si>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</si>
  <si>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</si>
  <si>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</si>
  <si>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</si>
  <si>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</si>
  <si>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</si>
  <si>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</si>
  <si>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</si>
  <si>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</si>
  <si>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</si>
  <si>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</si>
  <si>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</si>
  <si>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</si>
  <si>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</si>
  <si>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</si>
  <si>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</si>
  <si>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</si>
  <si>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</si>
  <si>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</si>
  <si>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</si>
  <si>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</si>
  <si>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</si>
  <si>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</si>
  <si>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</si>
  <si>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</si>
  <si>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</si>
  <si>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</si>
  <si>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</si>
  <si>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</si>
  <si>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</si>
  <si>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</si>
  <si>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</si>
  <si>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</si>
  <si>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</si>
  <si>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</si>
  <si>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</si>
  <si>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</si>
  <si>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</si>
  <si>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</si>
  <si>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</si>
  <si>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</si>
  <si>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</si>
  <si>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</si>
  <si>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</si>
  <si>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</si>
  <si>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</si>
  <si>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</si>
  <si>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</si>
  <si>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</si>
  <si>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</si>
  <si>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</si>
  <si>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</si>
  <si>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</si>
  <si>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</si>
  <si>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</si>
  <si>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</si>
  <si>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</si>
  <si>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</si>
  <si>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</si>
  <si>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</si>
  <si>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</si>
  <si>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</si>
  <si>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</si>
  <si>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</si>
  <si>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</si>
  <si>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</si>
  <si>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</si>
  <si>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</si>
  <si>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</si>
  <si>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</si>
  <si>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</si>
  <si>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</si>
  <si>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</si>
  <si>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</si>
  <si>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</si>
  <si>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</si>
  <si>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</si>
  <si>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</si>
  <si>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</si>
  <si>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</si>
  <si>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</si>
  <si>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</si>
  <si>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</si>
  <si>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</si>
  <si>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</si>
  <si>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</si>
  <si>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</si>
  <si>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</si>
  <si>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</si>
  <si>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</si>
  <si>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</si>
  <si>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</si>
  <si>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</si>
  <si>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</si>
  <si>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</si>
  <si>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</si>
  <si>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</si>
  <si>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</si>
  <si>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</si>
  <si>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</si>
  <si>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</si>
  <si>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</si>
  <si>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</si>
  <si>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</si>
  <si>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</si>
  <si>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</si>
  <si>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</si>
  <si>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</si>
  <si>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</si>
  <si>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</si>
  <si>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</si>
  <si>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</si>
  <si>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</si>
  <si>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</si>
  <si>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</si>
  <si>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</si>
  <si>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</si>
  <si>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</si>
  <si>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</si>
  <si>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</si>
  <si>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</si>
  <si>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</si>
  <si>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</si>
  <si>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</si>
  <si>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</si>
  <si>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</si>
  <si>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</si>
  <si>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</si>
  <si>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</si>
  <si>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</si>
  <si>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</si>
  <si>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</si>
  <si>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</si>
  <si>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</si>
  <si>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</si>
  <si>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</si>
  <si>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</si>
  <si>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</si>
  <si>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</si>
  <si>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</si>
  <si>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</si>
  <si>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</si>
  <si>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</si>
  <si>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</si>
  <si>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</si>
  <si>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</si>
  <si>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</si>
  <si>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</si>
  <si>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</si>
  <si>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</si>
  <si>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</si>
  <si>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</si>
  <si>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</si>
  <si>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</si>
  <si>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</si>
  <si>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</si>
  <si>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</si>
  <si>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</si>
  <si>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</si>
  <si>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</si>
  <si>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</si>
  <si>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</si>
  <si>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</si>
  <si>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</si>
  <si>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</si>
  <si>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</si>
  <si>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</si>
  <si>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</si>
  <si>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</si>
  <si>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</si>
  <si>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</si>
  <si>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</si>
  <si>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</si>
  <si>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</si>
  <si>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</si>
  <si>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</si>
  <si>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</si>
  <si>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</si>
  <si>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</si>
  <si>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</si>
  <si>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</si>
  <si>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</si>
  <si>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</si>
  <si>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</si>
  <si>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</si>
  <si>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</si>
  <si>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</si>
  <si>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</si>
  <si>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</si>
  <si>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</si>
  <si>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</si>
  <si>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</si>
  <si>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</si>
  <si>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</si>
  <si>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</si>
  <si>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</si>
  <si>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</si>
  <si>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</si>
  <si>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</si>
  <si>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</si>
  <si>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</si>
  <si>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</si>
  <si>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</si>
  <si>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</si>
  <si>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</si>
  <si>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</si>
  <si>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</si>
  <si>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</si>
  <si>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</si>
  <si>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</si>
  <si>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</si>
  <si>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</si>
  <si>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</si>
  <si>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</si>
  <si>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</si>
  <si>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</si>
  <si>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</si>
  <si>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</si>
  <si>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</si>
  <si>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</si>
  <si>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</si>
  <si>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</si>
  <si>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</si>
  <si>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</si>
  <si>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</si>
  <si>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</si>
  <si>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</si>
  <si>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</si>
  <si>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</si>
  <si>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</si>
  <si>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</si>
  <si>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</si>
  <si>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</si>
  <si>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</si>
  <si>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</si>
  <si>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</si>
  <si>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</si>
  <si>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</si>
  <si>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</si>
  <si>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</si>
  <si>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</si>
  <si>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</si>
  <si>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</si>
  <si>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</si>
  <si>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</si>
  <si>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</si>
  <si>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</si>
  <si>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</si>
  <si>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</si>
  <si>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</si>
  <si>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</si>
  <si>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</si>
  <si>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</si>
  <si>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</si>
  <si>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</si>
  <si>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</si>
  <si>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</si>
  <si>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</si>
  <si>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</si>
  <si>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</si>
  <si>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</si>
  <si>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</si>
  <si>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</si>
  <si>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</si>
  <si>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</si>
  <si>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</si>
  <si>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</si>
  <si>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</si>
  <si>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</si>
  <si>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</si>
  <si>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</si>
  <si>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</si>
  <si>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</si>
  <si>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</si>
  <si>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</si>
  <si>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</si>
  <si>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</si>
  <si>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</si>
  <si>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</si>
  <si>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</si>
  <si>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</si>
  <si>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</si>
  <si>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</si>
  <si>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</si>
  <si>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</si>
  <si>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</si>
  <si>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</si>
  <si>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</si>
  <si>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</si>
  <si>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</si>
  <si>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</si>
  <si>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</si>
  <si>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</si>
  <si>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</si>
  <si>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</si>
  <si>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</si>
  <si>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</si>
  <si>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</si>
  <si>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</si>
  <si>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</si>
  <si>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</si>
  <si>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</si>
  <si>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</si>
  <si>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</si>
  <si>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</si>
  <si>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</si>
  <si>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</si>
  <si>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</si>
  <si>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</si>
  <si>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</si>
  <si>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</si>
  <si>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</si>
  <si>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</si>
  <si>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</si>
  <si>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</si>
  <si>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</si>
  <si>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</si>
  <si>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</si>
  <si>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</si>
  <si>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</si>
  <si>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</si>
  <si>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</si>
  <si>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</si>
  <si>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</si>
  <si>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</si>
  <si>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</si>
  <si>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</si>
  <si>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</si>
  <si>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</si>
  <si>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</si>
  <si>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</si>
  <si>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</si>
  <si>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</si>
  <si>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</si>
  <si>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</si>
  <si>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</si>
  <si>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</si>
  <si>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</si>
  <si>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</si>
  <si>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</si>
  <si>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</si>
  <si>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</si>
  <si>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</si>
  <si>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</si>
  <si>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</si>
  <si>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</si>
  <si>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</si>
  <si>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</si>
  <si>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</si>
  <si>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</si>
  <si>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</si>
  <si>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</si>
  <si>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</si>
  <si>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</si>
  <si>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</si>
  <si>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</si>
  <si>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</si>
  <si>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</si>
  <si>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</si>
  <si>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</si>
  <si>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</si>
  <si>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</si>
  <si>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</si>
  <si>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</si>
  <si>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</si>
  <si>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</si>
  <si>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</si>
  <si>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</si>
  <si>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</si>
  <si>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</si>
  <si>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</si>
  <si>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</si>
  <si>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</si>
  <si>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</si>
  <si>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</si>
  <si>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</si>
  <si>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</si>
  <si>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</si>
  <si>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</si>
  <si>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</si>
  <si>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</si>
  <si>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</si>
  <si>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</si>
  <si>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</si>
  <si>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</si>
  <si>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</si>
  <si>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</si>
  <si>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</si>
  <si>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</si>
  <si>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</si>
  <si>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</si>
  <si>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</si>
  <si>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</si>
  <si>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</si>
  <si>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</si>
  <si>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</si>
  <si>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</si>
  <si>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</si>
  <si>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</si>
  <si>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</si>
  <si>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</si>
  <si>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</si>
  <si>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</si>
  <si>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</si>
  <si>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</si>
  <si>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</si>
  <si>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</si>
  <si>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</si>
  <si>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</si>
  <si>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</si>
  <si>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</si>
  <si>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</si>
  <si>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</si>
  <si>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</si>
  <si>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</si>
  <si>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</si>
  <si>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</si>
  <si>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</si>
  <si>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</si>
  <si>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</si>
  <si>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</si>
  <si>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</si>
  <si>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</si>
  <si>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</si>
  <si>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</si>
  <si>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</si>
  <si>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</si>
  <si>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</si>
  <si>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</si>
  <si>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</si>
  <si>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</si>
  <si>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</si>
  <si>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</si>
  <si>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</si>
  <si>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</si>
  <si>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</si>
  <si>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</si>
  <si>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</si>
  <si>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</si>
  <si>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</si>
  <si>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</si>
  <si>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</si>
  <si>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</si>
  <si>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</si>
  <si>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</si>
  <si>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</si>
  <si>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</si>
  <si>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</si>
  <si>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</si>
  <si>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</si>
  <si>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</si>
  <si>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</si>
  <si>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</si>
  <si>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</si>
  <si>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</si>
  <si>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</si>
  <si>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</si>
  <si>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</si>
  <si>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</si>
  <si>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</si>
  <si>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</si>
  <si>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</si>
  <si>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</si>
  <si>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</si>
  <si>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</si>
  <si>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</si>
  <si>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</si>
  <si>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</si>
  <si>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</si>
  <si>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</si>
  <si>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</si>
  <si>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</si>
  <si>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</si>
  <si>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</si>
  <si>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</si>
  <si>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</si>
  <si>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</si>
  <si>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</si>
  <si>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</si>
  <si>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</si>
  <si>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</si>
  <si>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</si>
  <si>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</si>
  <si>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</si>
  <si>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</si>
  <si>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</si>
  <si>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</si>
  <si>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</si>
  <si>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</si>
  <si>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</si>
  <si>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</si>
  <si>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</si>
  <si>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</si>
  <si>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</si>
  <si>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</si>
  <si>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</si>
  <si>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</si>
  <si>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</si>
  <si>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</si>
  <si>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</si>
  <si>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</si>
  <si>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</si>
  <si>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</si>
  <si>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</si>
  <si>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</si>
  <si>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</si>
  <si>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</si>
  <si>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</si>
  <si>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</si>
  <si>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</si>
  <si>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</si>
  <si>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</si>
  <si>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</si>
  <si>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</si>
  <si>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</si>
  <si>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</si>
  <si>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</si>
  <si>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</si>
  <si>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</si>
  <si>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</si>
  <si>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</si>
  <si>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</si>
  <si>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</si>
  <si>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</si>
  <si>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</si>
  <si>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</si>
  <si>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</si>
  <si>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</si>
  <si>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</si>
  <si>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</si>
  <si>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</si>
  <si>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</si>
  <si>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</si>
  <si>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</si>
  <si>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</si>
  <si>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</si>
  <si>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</si>
  <si>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</si>
  <si>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</si>
  <si>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</si>
  <si>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</si>
  <si>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</si>
  <si>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</si>
  <si>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</si>
  <si>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</si>
  <si>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</si>
  <si>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</si>
  <si>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</si>
  <si>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</si>
  <si>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</si>
  <si>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</si>
  <si>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</si>
  <si>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</si>
  <si>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</si>
  <si>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</si>
  <si>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</si>
  <si>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</si>
  <si>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</si>
  <si>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</si>
  <si>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</si>
  <si>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</si>
  <si>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</si>
  <si>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</si>
  <si>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</si>
  <si>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</si>
  <si>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</si>
  <si>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</si>
  <si>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</si>
  <si>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</si>
  <si>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</si>
  <si>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</si>
  <si>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</si>
  <si>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</si>
  <si>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</si>
  <si>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</si>
  <si>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</si>
  <si>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</si>
  <si>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</si>
  <si>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</si>
  <si>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</si>
  <si>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</si>
  <si>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</si>
  <si>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</si>
  <si>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</si>
  <si>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</si>
  <si>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</si>
  <si>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</si>
  <si>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</si>
  <si>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</si>
  <si>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</si>
  <si>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</si>
  <si>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</si>
  <si>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</si>
  <si>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</si>
  <si>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</si>
  <si>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</si>
  <si>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</si>
  <si>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</si>
  <si>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</si>
  <si>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</si>
  <si>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</si>
  <si>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</si>
  <si>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</si>
  <si>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</si>
  <si>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</si>
  <si>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</si>
  <si>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</si>
  <si>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</si>
  <si>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</si>
  <si>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</si>
  <si>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</si>
  <si>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</si>
  <si>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</si>
  <si>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</si>
  <si>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</si>
  <si>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</si>
  <si>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</si>
  <si>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</si>
  <si>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</si>
  <si>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</si>
  <si>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</si>
  <si>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</si>
  <si>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</si>
  <si>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</si>
  <si>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</si>
  <si>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</si>
  <si>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</si>
  <si>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</si>
  <si>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</si>
  <si>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</si>
  <si>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</si>
  <si>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</si>
  <si>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</si>
  <si>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</si>
  <si>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</si>
  <si>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</si>
  <si>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</si>
  <si>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</si>
  <si>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</si>
  <si>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</si>
  <si>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</si>
  <si>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</si>
  <si>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</si>
  <si>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</si>
  <si>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</si>
  <si>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</si>
  <si>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</si>
  <si>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</si>
  <si>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</si>
  <si>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</si>
  <si>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</si>
  <si>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</si>
  <si>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</si>
  <si>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</si>
  <si>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</si>
  <si>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</si>
  <si>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</si>
  <si>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</si>
  <si>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</si>
  <si>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</si>
  <si>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</si>
  <si>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</si>
  <si>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</si>
  <si>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</si>
  <si>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</si>
  <si>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</si>
  <si>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</si>
  <si>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</si>
  <si>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</si>
  <si>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</si>
  <si>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</si>
  <si>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</si>
  <si>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</si>
  <si>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</si>
  <si>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</si>
  <si>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</si>
  <si>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</si>
  <si>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</si>
  <si>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</si>
  <si>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</si>
  <si>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</si>
  <si>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</si>
  <si>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</si>
  <si>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</si>
  <si>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</si>
  <si>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</si>
  <si>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</si>
  <si>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</si>
  <si>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</si>
  <si>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</si>
  <si>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</si>
  <si>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</si>
  <si>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</si>
  <si>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</si>
  <si>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</si>
  <si>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</si>
  <si>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</si>
  <si>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</si>
  <si>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</si>
  <si>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</si>
  <si>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</si>
  <si>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</si>
  <si>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</si>
  <si>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</si>
  <si>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</si>
  <si>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</si>
  <si>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</si>
  <si>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</si>
  <si>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</si>
  <si>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</si>
  <si>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</si>
  <si>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</si>
  <si>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</si>
  <si>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</si>
  <si>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</si>
  <si>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</si>
  <si>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</si>
  <si>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</si>
  <si>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</si>
  <si>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</si>
  <si>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</si>
  <si>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</si>
  <si>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</si>
  <si>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</si>
  <si>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</si>
  <si>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</si>
  <si>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</si>
  <si>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</si>
  <si>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</si>
  <si>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</si>
  <si>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</si>
  <si>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</si>
  <si>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</si>
  <si>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</si>
  <si>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</si>
  <si>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</si>
  <si>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</si>
  <si>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</si>
  <si>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</si>
  <si>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</si>
  <si>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</si>
  <si>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</si>
  <si>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</si>
  <si>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</si>
  <si>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</si>
  <si>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</si>
  <si>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</si>
  <si>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</si>
  <si>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</si>
  <si>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</si>
  <si>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</si>
  <si>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</si>
  <si>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</si>
  <si>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</si>
  <si>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</si>
  <si>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</si>
  <si>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</si>
  <si>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</si>
  <si>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</si>
  <si>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</si>
  <si>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</si>
  <si>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</si>
  <si>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</si>
  <si>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</si>
  <si>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</si>
  <si>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</si>
  <si>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</si>
  <si>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</si>
  <si>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</si>
  <si>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</si>
  <si>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</si>
  <si>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</si>
  <si>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</si>
  <si>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</si>
  <si>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</si>
  <si>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</si>
  <si>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</si>
  <si>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</si>
  <si>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</si>
  <si>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</si>
  <si>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</si>
  <si>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</si>
  <si>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</si>
  <si>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</si>
  <si>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</si>
  <si>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</si>
  <si>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</si>
  <si>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</si>
  <si>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</si>
  <si>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</si>
  <si>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</si>
  <si>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</si>
  <si>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</si>
  <si>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</si>
  <si>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</si>
  <si>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</si>
  <si>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</si>
  <si>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</si>
  <si>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</si>
  <si>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</si>
  <si>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</si>
  <si>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</si>
  <si>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</si>
  <si>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</si>
  <si>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</si>
  <si>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</si>
  <si>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</si>
  <si>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</si>
  <si>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</si>
  <si>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</si>
  <si>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</si>
  <si>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</si>
  <si>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</si>
  <si>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</si>
  <si>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</si>
  <si>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</si>
  <si>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</si>
  <si>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</si>
  <si>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</si>
  <si>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</si>
  <si>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</si>
  <si>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</si>
  <si>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</si>
  <si>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</si>
  <si>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</si>
  <si>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</si>
  <si>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</si>
  <si>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</si>
  <si>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</si>
  <si>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</si>
  <si>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</si>
  <si>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</si>
  <si>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</si>
  <si>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</si>
  <si>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</si>
  <si>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</si>
  <si>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</si>
  <si>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</si>
  <si>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</si>
  <si>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</si>
  <si>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</si>
  <si>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</si>
  <si>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</si>
  <si>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</si>
  <si>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</si>
  <si>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</si>
  <si>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</si>
  <si>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</si>
  <si>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</si>
  <si>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</si>
  <si>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</si>
  <si>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</si>
  <si>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</si>
  <si>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</si>
  <si>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</si>
  <si>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</si>
  <si>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</si>
  <si>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</si>
  <si>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</si>
  <si>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</si>
  <si>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</si>
  <si>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</si>
  <si>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</si>
  <si>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</si>
  <si>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</si>
  <si>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</si>
  <si>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</si>
  <si>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</si>
  <si>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</si>
  <si>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</si>
  <si>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</si>
  <si>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</si>
  <si>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</si>
  <si>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</si>
  <si>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</si>
  <si>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</si>
  <si>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</si>
  <si>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</si>
  <si>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</si>
  <si>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</si>
  <si>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</si>
  <si>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</si>
  <si>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</si>
  <si>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</si>
  <si>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</si>
  <si>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</si>
  <si>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</si>
  <si>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</si>
  <si>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</si>
  <si>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</si>
  <si>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</si>
  <si>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</si>
  <si>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</si>
  <si>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</si>
  <si>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</si>
  <si>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</si>
  <si>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</si>
  <si>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</si>
  <si>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</si>
  <si>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</si>
  <si>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</si>
  <si>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</si>
  <si>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</si>
  <si>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</si>
  <si>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</si>
  <si>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</si>
  <si>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</si>
  <si>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</si>
  <si>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</si>
  <si>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</si>
  <si>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</si>
  <si>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</si>
  <si>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</si>
  <si>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</si>
  <si>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</si>
  <si>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</si>
  <si>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</si>
  <si>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</si>
  <si>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</si>
  <si>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</si>
  <si>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</si>
  <si>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</si>
  <si>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</si>
  <si>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</si>
  <si>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</si>
  <si>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</si>
  <si>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</si>
  <si>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</si>
  <si>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</si>
  <si>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</si>
  <si>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</si>
  <si>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</si>
  <si>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</si>
  <si>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</si>
  <si>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</si>
  <si>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</si>
  <si>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</si>
  <si>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</si>
  <si>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</si>
  <si>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</si>
  <si>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</si>
  <si>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</si>
  <si>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</si>
  <si>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</si>
  <si>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</si>
  <si>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</si>
  <si>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</si>
  <si>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</si>
  <si>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</si>
  <si>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</si>
  <si>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</si>
  <si>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</si>
  <si>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</si>
  <si>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</si>
  <si>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</si>
  <si>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</si>
  <si>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</si>
  <si>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</si>
  <si>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</si>
  <si>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</si>
  <si>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</si>
  <si>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</si>
  <si>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</si>
  <si>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</si>
  <si>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</si>
  <si>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</si>
  <si>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</si>
  <si>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</si>
  <si>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</si>
  <si>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</si>
  <si>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</si>
  <si>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</si>
  <si>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</si>
  <si>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</si>
  <si>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</si>
  <si>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</si>
  <si>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</si>
  <si>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</si>
  <si>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</si>
  <si>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</si>
  <si>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</si>
  <si>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</si>
  <si>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</si>
  <si>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</si>
  <si>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</si>
  <si>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</si>
  <si>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</si>
  <si>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</si>
  <si>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</si>
  <si>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</si>
  <si>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</si>
  <si>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</si>
  <si>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</si>
  <si>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</si>
  <si>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</si>
  <si>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</si>
  <si>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</si>
  <si>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</si>
  <si>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</si>
  <si>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</si>
  <si>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</si>
  <si>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</si>
  <si>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</si>
  <si>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</si>
  <si>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</si>
  <si>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</si>
  <si>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</si>
  <si>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</si>
  <si>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</si>
  <si>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</si>
  <si>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</si>
  <si>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</si>
  <si>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</si>
  <si>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</si>
  <si>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</si>
  <si>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</si>
  <si>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</si>
  <si>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</si>
  <si>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</si>
  <si>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</si>
  <si>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</si>
  <si>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</si>
  <si>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</si>
  <si>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</si>
  <si>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</si>
  <si>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</si>
  <si>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</si>
  <si>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</si>
  <si>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</si>
  <si>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</si>
  <si>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</si>
  <si>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</si>
  <si>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</si>
  <si>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</si>
  <si>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</si>
  <si>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</si>
  <si>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</si>
  <si>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</si>
  <si>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</si>
  <si>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</si>
  <si>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</si>
  <si>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</si>
  <si>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</si>
  <si>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</si>
  <si>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</si>
  <si>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</si>
  <si>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</si>
  <si>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</si>
  <si>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</si>
  <si>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</si>
  <si>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</si>
  <si>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</si>
  <si>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</si>
  <si>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</si>
  <si>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</si>
  <si>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</si>
  <si>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</si>
  <si>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</si>
  <si>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</si>
  <si>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</si>
  <si>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</si>
  <si>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</si>
  <si>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</si>
  <si>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</si>
  <si>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</si>
  <si>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</si>
  <si>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</si>
  <si>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</si>
  <si>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</si>
  <si>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</si>
  <si>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</si>
  <si>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</si>
  <si>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</si>
  <si>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</si>
  <si>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</si>
  <si>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</si>
  <si>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</si>
  <si>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</si>
  <si>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</si>
  <si>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</si>
  <si>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</si>
  <si>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</si>
  <si>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</si>
  <si>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</si>
  <si>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</si>
  <si>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</si>
  <si>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</si>
  <si>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</si>
  <si>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</si>
  <si>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</si>
  <si>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</si>
  <si>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</si>
  <si>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</si>
  <si>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</si>
  <si>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</si>
  <si>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</si>
  <si>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</si>
  <si>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</si>
  <si>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</si>
  <si>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</si>
  <si>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</si>
  <si>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</si>
  <si>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</si>
  <si>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</si>
  <si>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</si>
  <si>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</si>
  <si>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</si>
  <si>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</si>
  <si>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</si>
  <si>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</si>
  <si>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</si>
  <si>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</si>
  <si>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</si>
  <si>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</si>
  <si>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</si>
  <si>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</si>
  <si>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</si>
  <si>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</si>
  <si>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</si>
  <si>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</si>
  <si>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</si>
  <si>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</si>
  <si>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</si>
  <si>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</si>
  <si>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</si>
  <si>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</si>
  <si>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</si>
  <si>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</si>
  <si>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</si>
  <si>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</si>
  <si>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</si>
  <si>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</si>
  <si>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</si>
  <si>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</si>
  <si>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</si>
  <si>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</si>
  <si>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</si>
  <si>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</si>
  <si>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</si>
  <si>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</si>
  <si>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</si>
  <si>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</si>
  <si>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</si>
  <si>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</si>
  <si>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</si>
  <si>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</si>
  <si>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</si>
  <si>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</si>
  <si>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</si>
  <si>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</si>
  <si>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</si>
  <si>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</si>
  <si>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</si>
  <si>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</si>
  <si>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</si>
  <si>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</si>
  <si>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</si>
  <si>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</si>
  <si>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</si>
  <si>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</si>
  <si>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</si>
  <si>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</si>
  <si>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</si>
  <si>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</si>
  <si>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</si>
  <si>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</si>
  <si>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</si>
  <si>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</si>
  <si>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</si>
  <si>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</si>
  <si>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</si>
  <si>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</si>
  <si>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</si>
  <si>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</si>
  <si>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</si>
  <si>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</si>
  <si>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</si>
  <si>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</si>
  <si>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</si>
  <si>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</si>
  <si>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</si>
  <si>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</si>
  <si>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</si>
  <si>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</si>
  <si>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</si>
  <si>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</si>
  <si>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</si>
  <si>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</si>
  <si>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</si>
  <si>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</si>
  <si>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</si>
  <si>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</si>
  <si>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</si>
  <si>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</si>
  <si>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</si>
  <si>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</si>
  <si>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</si>
  <si>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</si>
  <si>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</si>
  <si>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</si>
  <si>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</si>
  <si>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</si>
  <si>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</si>
  <si>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</si>
  <si>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</si>
  <si>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</si>
  <si>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</si>
  <si>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</si>
  <si>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</si>
  <si>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</si>
  <si>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</si>
  <si>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</si>
  <si>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</si>
  <si>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</si>
  <si>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</si>
  <si>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</si>
  <si>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</si>
  <si>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</si>
  <si>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</si>
  <si>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</si>
  <si>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</si>
  <si>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</si>
  <si>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</si>
  <si>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</si>
  <si>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</si>
  <si>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</si>
  <si>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</si>
  <si>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</si>
  <si>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</si>
  <si>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</si>
  <si>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</si>
  <si>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</si>
  <si>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</si>
  <si>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</si>
  <si>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</si>
  <si>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</si>
  <si>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</si>
  <si>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</si>
  <si>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</si>
  <si>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</si>
  <si>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</si>
  <si>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</si>
  <si>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</si>
  <si>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</si>
  <si>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</si>
  <si>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</si>
  <si>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</si>
  <si>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</si>
  <si>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</si>
  <si>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</si>
  <si>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</si>
  <si>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</si>
  <si>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</si>
  <si>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</si>
  <si>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</si>
  <si>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</si>
  <si>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</si>
  <si>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</si>
  <si>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</si>
  <si>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</si>
  <si>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</si>
  <si>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</si>
  <si>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</si>
  <si>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</si>
  <si>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</si>
  <si>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</si>
  <si>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</si>
  <si>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</si>
  <si>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</si>
  <si>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</si>
  <si>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</si>
  <si>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</si>
  <si>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</si>
  <si>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</si>
  <si>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</si>
  <si>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</si>
  <si>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</si>
  <si>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</si>
  <si>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</si>
  <si>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</si>
  <si>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</si>
  <si>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</si>
  <si>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</si>
  <si>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</si>
  <si>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</si>
  <si>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</si>
  <si>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</si>
  <si>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</si>
  <si>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</si>
  <si>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</si>
  <si>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</si>
  <si>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</si>
  <si>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</si>
  <si>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</si>
  <si>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</si>
  <si>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</si>
  <si>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</si>
  <si>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</si>
  <si>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</si>
  <si>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</si>
  <si>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</si>
  <si>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</si>
  <si>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</si>
  <si>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</si>
  <si>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</si>
  <si>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</si>
  <si>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</si>
  <si>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</si>
  <si>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</si>
  <si>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</si>
  <si>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</si>
  <si>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</si>
  <si>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</si>
  <si>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</si>
  <si>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</si>
  <si>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</si>
  <si>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</si>
  <si>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</si>
  <si>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</si>
  <si>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</si>
  <si>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</si>
  <si>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</si>
  <si>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</si>
  <si>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</si>
  <si>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</si>
  <si>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</si>
  <si>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</si>
  <si>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</si>
  <si>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</si>
  <si>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</si>
  <si>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</si>
  <si>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</si>
  <si>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</si>
  <si>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</si>
  <si>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</si>
  <si>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</si>
  <si>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</si>
  <si>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</si>
  <si>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</si>
  <si>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</si>
  <si>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</si>
  <si>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</si>
  <si>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</si>
  <si>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</si>
  <si>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</si>
  <si>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</si>
  <si>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</si>
  <si>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</si>
  <si>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</si>
  <si>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</si>
  <si>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</si>
  <si>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</si>
  <si>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</si>
  <si>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</si>
  <si>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</si>
  <si>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</si>
  <si>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</si>
  <si>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</si>
  <si>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</si>
  <si>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</si>
  <si>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</si>
  <si>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</si>
  <si>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</si>
  <si>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</si>
  <si>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</si>
  <si>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</si>
  <si>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</si>
  <si>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</si>
  <si>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</si>
  <si>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</si>
  <si>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</si>
  <si>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</si>
  <si>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</si>
  <si>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</si>
  <si>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</si>
  <si>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</si>
  <si>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</si>
  <si>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</si>
  <si>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</si>
  <si>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</si>
  <si>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</si>
  <si>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</si>
  <si>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</si>
  <si>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</si>
  <si>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</si>
  <si>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</si>
  <si>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</si>
  <si>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</si>
  <si>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</si>
  <si>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</si>
  <si>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</si>
  <si>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</si>
  <si>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</si>
  <si>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</si>
  <si>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</si>
  <si>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</si>
  <si>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</si>
  <si>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</si>
  <si>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</si>
  <si>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</si>
  <si>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</si>
  <si>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</si>
  <si>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</si>
  <si>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</si>
  <si>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</si>
  <si>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</si>
  <si>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</si>
  <si>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</si>
  <si>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</si>
  <si>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</si>
  <si>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</si>
  <si>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</si>
  <si>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</si>
  <si>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</si>
  <si>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</si>
  <si>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</si>
  <si>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</si>
  <si>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</si>
  <si>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</si>
  <si>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</si>
  <si>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</si>
  <si>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</si>
  <si>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</si>
  <si>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</si>
  <si>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</si>
  <si>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</si>
  <si>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</si>
  <si>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</si>
  <si>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</si>
  <si>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</si>
  <si>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</si>
  <si>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</si>
  <si>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</si>
  <si>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</si>
  <si>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</si>
  <si>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</si>
  <si>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</si>
  <si>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</si>
  <si>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</si>
  <si>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</si>
  <si>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</si>
  <si>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</si>
  <si>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</si>
  <si>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</si>
  <si>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</si>
  <si>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</si>
  <si>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</si>
  <si>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</si>
  <si>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</si>
  <si>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</si>
  <si>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</si>
  <si>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</si>
  <si>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</si>
  <si>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</si>
  <si>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</si>
  <si>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</si>
  <si>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</si>
  <si>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</si>
  <si>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</si>
  <si>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</si>
  <si>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</si>
  <si>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</si>
  <si>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</si>
  <si>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</si>
  <si>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</si>
  <si>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</si>
  <si>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</si>
  <si>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</si>
  <si>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</si>
  <si>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</si>
  <si>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</si>
  <si>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</si>
  <si>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</si>
  <si>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</si>
  <si>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</si>
  <si>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</si>
  <si>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</si>
  <si>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</si>
  <si>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</si>
  <si>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</si>
  <si>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</si>
  <si>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</si>
  <si>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</si>
  <si>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</si>
  <si>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</si>
  <si>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</si>
  <si>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</si>
  <si>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</si>
  <si>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</si>
  <si>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</si>
  <si>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</si>
  <si>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</si>
  <si>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</si>
  <si>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</si>
  <si>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</si>
  <si>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</si>
  <si>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</si>
  <si>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</si>
  <si>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</si>
  <si>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</si>
  <si>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</si>
  <si>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</si>
  <si>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</si>
  <si>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</si>
  <si>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</si>
  <si>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</si>
  <si>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</si>
  <si>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</si>
  <si>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</si>
  <si>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</si>
  <si>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</si>
  <si>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</si>
  <si>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</si>
  <si>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</si>
  <si>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</si>
  <si>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</si>
  <si>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</si>
  <si>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</si>
  <si>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</si>
  <si>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</si>
  <si>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</si>
  <si>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</si>
  <si>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</si>
  <si>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</si>
  <si>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</si>
  <si>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</si>
  <si>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</si>
  <si>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</si>
  <si>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</si>
  <si>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</si>
  <si>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</si>
  <si>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</si>
  <si>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</si>
  <si>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</si>
  <si>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</si>
  <si>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</si>
  <si>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</si>
  <si>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</si>
  <si>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</si>
  <si>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</si>
  <si>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</si>
  <si>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</si>
  <si>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</si>
  <si>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</si>
  <si>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</si>
  <si>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</si>
  <si>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</si>
  <si>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</si>
  <si>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</si>
  <si>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</si>
  <si>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</si>
  <si>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</si>
  <si>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</si>
  <si>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</si>
  <si>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</si>
  <si>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</si>
  <si>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</si>
  <si>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</si>
  <si>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</si>
  <si>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</si>
  <si>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</si>
  <si>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</si>
  <si>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</si>
  <si>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</si>
  <si>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</si>
  <si>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</si>
  <si>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</si>
  <si>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</si>
  <si>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</si>
  <si>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</si>
  <si>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</si>
  <si>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</si>
  <si>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</si>
  <si>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</si>
  <si>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</si>
  <si>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</si>
  <si>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</si>
  <si>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</si>
  <si>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</si>
  <si>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</si>
  <si>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</si>
  <si>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</si>
  <si>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</si>
  <si>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</si>
  <si>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</si>
  <si>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</si>
  <si>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</si>
  <si>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</si>
  <si>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</si>
  <si>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</si>
  <si>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</si>
  <si>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</si>
  <si>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</si>
  <si>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</si>
  <si>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</si>
  <si>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</si>
  <si>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</si>
  <si>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</si>
  <si>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</si>
  <si>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</si>
  <si>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</si>
  <si>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</si>
  <si>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</si>
  <si>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</si>
  <si>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</si>
  <si>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</si>
  <si>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</si>
  <si>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</si>
  <si>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</si>
  <si>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</si>
  <si>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</si>
  <si>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</si>
  <si>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</si>
  <si>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</si>
  <si>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</si>
  <si>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</si>
  <si>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</si>
  <si>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</si>
  <si>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</si>
  <si>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</si>
  <si>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</si>
  <si>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</si>
  <si>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</si>
  <si>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</si>
  <si>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</si>
  <si>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</si>
  <si>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</si>
  <si>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</si>
  <si>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</si>
  <si>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</si>
  <si>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</si>
  <si>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</si>
  <si>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</si>
  <si>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</si>
  <si>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</si>
  <si>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</si>
  <si>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</si>
  <si>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</si>
  <si>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</si>
  <si>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</si>
  <si>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</si>
  <si>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</si>
  <si>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</si>
  <si>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</si>
  <si>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</si>
  <si>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</si>
  <si>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</si>
  <si>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</si>
  <si>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</si>
  <si>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</si>
  <si>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</si>
  <si>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</si>
  <si>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</si>
  <si>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</si>
  <si>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</si>
  <si>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</si>
  <si>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</si>
  <si>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</si>
  <si>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</si>
  <si>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</si>
  <si>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</si>
  <si>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</si>
  <si>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</si>
  <si>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</si>
  <si>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</si>
  <si>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</si>
  <si>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</si>
  <si>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</si>
  <si>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</si>
  <si>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</si>
  <si>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</si>
  <si>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</si>
  <si>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</si>
  <si>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</si>
  <si>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</si>
  <si>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</si>
  <si>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</si>
  <si>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</si>
  <si>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</si>
  <si>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</si>
  <si>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</si>
  <si>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</si>
  <si>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</si>
  <si>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</si>
  <si>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</si>
  <si>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</si>
  <si>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</si>
  <si>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</si>
  <si>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</si>
  <si>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</si>
  <si>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</si>
  <si>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</si>
  <si>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</si>
  <si>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</si>
  <si>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</si>
  <si>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</si>
  <si>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</si>
  <si>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</si>
  <si>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</si>
  <si>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</si>
  <si>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</si>
  <si>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</si>
  <si>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</si>
  <si>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</si>
  <si>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</si>
  <si>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</si>
  <si>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</si>
  <si>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</si>
  <si>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</si>
  <si>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</si>
  <si>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</si>
  <si>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</si>
  <si>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</si>
  <si>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</si>
  <si>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</si>
  <si>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</si>
  <si>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</si>
  <si>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</si>
  <si>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</si>
  <si>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</si>
  <si>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</si>
  <si>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</si>
  <si>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</si>
  <si>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</si>
  <si>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</si>
  <si>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</si>
  <si>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</si>
  <si>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</si>
  <si>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</si>
  <si>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</si>
  <si>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</si>
  <si>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</si>
  <si>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</si>
  <si>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</si>
  <si>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</si>
  <si>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</si>
  <si>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</si>
  <si>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</si>
  <si>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</si>
  <si>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</si>
  <si>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</si>
  <si>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</si>
  <si>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</si>
  <si>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</si>
  <si>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</si>
  <si>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</si>
  <si>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</si>
  <si>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</si>
  <si>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</si>
  <si>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</si>
  <si>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</si>
  <si>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</si>
  <si>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</si>
  <si>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</si>
  <si>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</si>
  <si>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</si>
  <si>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</si>
  <si>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</si>
  <si>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</si>
  <si>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</si>
  <si>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</si>
  <si>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</si>
  <si>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</si>
  <si>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</si>
  <si>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</si>
  <si>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</si>
  <si>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</si>
  <si>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</si>
  <si>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</si>
  <si>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</si>
  <si>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</si>
  <si>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</si>
  <si>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</si>
  <si>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</si>
  <si>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</si>
  <si>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</si>
  <si>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</si>
  <si>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</si>
  <si>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</si>
  <si>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</si>
  <si>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</si>
  <si>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</si>
  <si>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</si>
  <si>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</si>
  <si>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</si>
  <si>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</si>
  <si>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</si>
  <si>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</si>
  <si>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</si>
  <si>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</si>
  <si>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</si>
  <si>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</si>
  <si>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</si>
  <si>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</si>
  <si>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</si>
  <si>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</si>
  <si>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</si>
  <si>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</si>
  <si>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</si>
  <si>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</si>
  <si>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</si>
  <si>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</si>
  <si>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</si>
  <si>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</si>
  <si>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</si>
  <si>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</si>
  <si>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</si>
  <si>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</si>
  <si>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</si>
  <si>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</si>
  <si>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</si>
  <si>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</si>
  <si>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</si>
  <si>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</si>
  <si>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</si>
  <si>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</si>
  <si>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</si>
  <si>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</si>
  <si>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</si>
  <si>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</si>
  <si>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</si>
  <si>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</si>
  <si>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</si>
  <si>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</si>
  <si>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</si>
  <si>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</si>
  <si>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</si>
  <si>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</si>
  <si>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</si>
  <si>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</si>
  <si>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</si>
  <si>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</si>
  <si>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</si>
  <si>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</si>
  <si>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</si>
  <si>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</si>
  <si>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</si>
  <si>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</si>
  <si>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</si>
  <si>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</si>
  <si>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</si>
  <si>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</si>
  <si>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</si>
  <si>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</si>
  <si>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</si>
  <si>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</si>
  <si>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</si>
  <si>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</si>
  <si>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</si>
  <si>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</si>
  <si>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</si>
  <si>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</si>
  <si>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</si>
  <si>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</si>
  <si>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</si>
  <si>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</si>
  <si>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</si>
  <si>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</si>
  <si>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</si>
  <si>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</si>
  <si>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</si>
  <si>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</si>
  <si>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</si>
  <si>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</si>
  <si>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</si>
  <si>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</si>
  <si>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</si>
  <si>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</si>
  <si>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</si>
  <si>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</si>
  <si>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</si>
  <si>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</si>
  <si>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</si>
  <si>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</si>
  <si>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</si>
  <si>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</si>
  <si>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</si>
  <si>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</si>
  <si>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</si>
  <si>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</si>
  <si>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</si>
  <si>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</si>
  <si>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</si>
  <si>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</si>
  <si>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</si>
  <si>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</si>
  <si>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</si>
  <si>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</si>
  <si>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</si>
  <si>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</si>
  <si>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</si>
  <si>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</si>
  <si>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</si>
  <si>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</si>
  <si>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</si>
  <si>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</si>
  <si>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</si>
  <si>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</si>
  <si>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</si>
  <si>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</si>
  <si>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</si>
  <si>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</si>
  <si>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</si>
  <si>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</si>
  <si>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</si>
  <si>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</si>
  <si>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</si>
  <si>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</si>
  <si>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</si>
  <si>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</si>
  <si>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</si>
  <si>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</si>
  <si>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</si>
  <si>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</si>
  <si>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</si>
  <si>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</si>
  <si>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</si>
  <si>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</si>
  <si>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</si>
  <si>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</si>
  <si>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</si>
  <si>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</si>
  <si>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</si>
  <si>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</si>
  <si>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</si>
  <si>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</si>
  <si>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</si>
  <si>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</si>
  <si>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</si>
  <si>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</si>
  <si>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</si>
  <si>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</si>
  <si>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</si>
  <si>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</si>
  <si>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</si>
  <si>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</si>
  <si>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</si>
  <si>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</si>
  <si>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</si>
  <si>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</si>
  <si>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</si>
  <si>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</si>
  <si>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</si>
  <si>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</si>
  <si>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</si>
  <si>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</si>
  <si>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</si>
  <si>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</si>
  <si>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</si>
  <si>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</si>
  <si>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</si>
  <si>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</si>
  <si>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</si>
  <si>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</si>
  <si>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</si>
  <si>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</si>
  <si>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</si>
  <si>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</si>
  <si>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</si>
  <si>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</si>
  <si>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</si>
  <si>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</si>
  <si>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</si>
  <si>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</si>
  <si>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</si>
  <si>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</si>
  <si>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</si>
  <si>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</si>
  <si>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</si>
  <si>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</si>
  <si>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</si>
  <si>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</si>
  <si>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</si>
  <si>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</si>
  <si>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</si>
  <si>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</si>
  <si>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</si>
  <si>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</si>
  <si>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</si>
  <si>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</si>
  <si>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</si>
  <si>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</si>
  <si>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</si>
  <si>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</si>
  <si>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</si>
  <si>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</si>
  <si>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</si>
  <si>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</si>
  <si>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</si>
  <si>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</si>
  <si>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</si>
  <si>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</si>
  <si>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</si>
  <si>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</si>
  <si>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</si>
  <si>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</si>
  <si>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</si>
  <si>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</si>
  <si>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</si>
  <si>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</si>
  <si>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</si>
  <si>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</si>
  <si>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</si>
  <si>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</si>
  <si>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</si>
  <si>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</si>
  <si>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</si>
  <si>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</si>
  <si>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</si>
  <si>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</si>
  <si>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</si>
  <si>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</si>
  <si>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</si>
  <si>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</si>
  <si>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</si>
  <si>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</si>
  <si>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</si>
  <si>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</si>
  <si>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</si>
  <si>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</si>
  <si>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</si>
  <si>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</si>
  <si>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</si>
  <si>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</si>
  <si>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</si>
  <si>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</si>
  <si>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</si>
  <si>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</si>
  <si>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</si>
  <si>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</si>
  <si>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</si>
  <si>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</si>
  <si>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</si>
  <si>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</si>
  <si>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</si>
  <si>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</si>
  <si>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</si>
  <si>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</si>
  <si>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</si>
  <si>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</si>
  <si>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</si>
  <si>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</si>
  <si>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</si>
  <si>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</si>
  <si>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</si>
  <si>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</si>
  <si>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</si>
  <si>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</si>
  <si>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</si>
  <si>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</si>
  <si>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</si>
  <si>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</si>
  <si>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</si>
  <si>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</si>
  <si>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</si>
  <si>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</si>
  <si>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</si>
  <si>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</si>
  <si>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</si>
  <si>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</si>
  <si>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</si>
  <si>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</si>
  <si>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</si>
  <si>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</si>
  <si>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</si>
  <si>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</si>
  <si>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</si>
  <si>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</si>
  <si>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</si>
  <si>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</si>
  <si>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</si>
  <si>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</si>
  <si>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</si>
  <si>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</si>
  <si>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</si>
  <si>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</si>
  <si>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</si>
  <si>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</si>
  <si>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</si>
  <si>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</si>
  <si>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</si>
  <si>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</si>
  <si>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</si>
  <si>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</si>
  <si>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</si>
  <si>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</si>
  <si>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</si>
  <si>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</si>
  <si>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</si>
  <si>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</si>
  <si>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</si>
  <si>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</si>
  <si>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</si>
  <si>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</si>
  <si>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</si>
  <si>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</si>
  <si>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</si>
  <si>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</si>
  <si>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</si>
  <si>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</si>
  <si>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</si>
  <si>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</si>
  <si>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</si>
  <si>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</si>
  <si>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</si>
  <si>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</si>
  <si>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</si>
  <si>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</si>
  <si>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</si>
  <si>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</si>
  <si>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</si>
  <si>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</si>
  <si>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</si>
  <si>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</si>
  <si>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</si>
  <si>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</si>
  <si>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</si>
  <si>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</si>
  <si>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</si>
  <si>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</si>
  <si>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</si>
  <si>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</si>
  <si>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</si>
  <si>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</si>
  <si>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</si>
  <si>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</si>
  <si>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</si>
  <si>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</si>
  <si>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</si>
  <si>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</si>
  <si>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</si>
  <si>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</si>
  <si>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</si>
  <si>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</si>
  <si>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</si>
  <si>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</si>
  <si>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</si>
  <si>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</si>
  <si>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</si>
  <si>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</si>
  <si>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</si>
  <si>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</si>
  <si>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</si>
  <si>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</si>
  <si>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</si>
  <si>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</si>
  <si>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</si>
  <si>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</si>
  <si>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</si>
  <si>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</si>
  <si>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</si>
  <si>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</si>
  <si>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</si>
  <si>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</si>
  <si>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</si>
  <si>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</si>
  <si>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</si>
  <si>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</si>
  <si>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</si>
  <si>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</si>
  <si>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</si>
  <si>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</si>
  <si>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</si>
  <si>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</si>
  <si>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</si>
  <si>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</si>
  <si>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</si>
  <si>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</si>
  <si>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</si>
  <si>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</si>
  <si>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</si>
  <si>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</si>
  <si>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</si>
  <si>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</si>
  <si>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</si>
  <si>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</si>
  <si>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</si>
  <si>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</si>
  <si>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</si>
  <si>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</si>
  <si>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</si>
  <si>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</si>
  <si>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</si>
  <si>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</si>
  <si>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</si>
  <si>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</si>
  <si>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</si>
  <si>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</si>
  <si>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</si>
  <si>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</si>
  <si>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</si>
  <si>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</si>
  <si>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</si>
  <si>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</si>
  <si>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</si>
  <si>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</si>
  <si>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</si>
  <si>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</si>
  <si>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</si>
  <si>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</si>
  <si>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</si>
  <si>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</si>
  <si>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</si>
  <si>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</si>
  <si>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</si>
  <si>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</si>
  <si>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</si>
  <si>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</si>
  <si>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</si>
  <si>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</si>
  <si>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</si>
  <si>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</si>
  <si>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</si>
  <si>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</si>
  <si>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</si>
  <si>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</si>
  <si>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</si>
  <si>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</si>
  <si>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</si>
  <si>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</si>
  <si>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</si>
  <si>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</si>
  <si>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</si>
  <si>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</si>
  <si>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</si>
  <si>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</si>
  <si>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</si>
  <si>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</si>
  <si>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</si>
  <si>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</si>
  <si>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</si>
  <si>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</si>
  <si>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</si>
  <si>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</si>
  <si>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</si>
  <si>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</si>
  <si>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</si>
  <si>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</si>
  <si>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</si>
  <si>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</si>
  <si>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</si>
  <si>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</si>
  <si>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</si>
  <si>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</si>
  <si>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</si>
  <si>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</si>
  <si>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</si>
  <si>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</si>
  <si>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</si>
  <si>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</si>
  <si>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</si>
  <si>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</si>
  <si>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</si>
  <si>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</si>
  <si>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</si>
  <si>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</si>
  <si>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</si>
  <si>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</si>
  <si>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</si>
  <si>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</si>
  <si>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</si>
  <si>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</si>
  <si>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</si>
  <si>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</si>
  <si>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</si>
  <si>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</si>
  <si>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</si>
  <si>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</si>
  <si>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</si>
  <si>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</si>
  <si>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</si>
  <si>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</si>
  <si>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</si>
  <si>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</si>
  <si>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</si>
  <si>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</si>
  <si>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</si>
  <si>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</si>
  <si>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</si>
  <si>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</si>
  <si>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</si>
  <si>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</si>
  <si>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</si>
  <si>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</si>
  <si>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</si>
  <si>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</si>
  <si>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</si>
  <si>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</si>
  <si>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</si>
  <si>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</si>
  <si>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</si>
  <si>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</si>
  <si>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</si>
  <si>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</si>
  <si>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</si>
  <si>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</si>
  <si>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</si>
  <si>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</si>
  <si>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</si>
  <si>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</si>
  <si>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</si>
  <si>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</si>
  <si>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</si>
  <si>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</si>
  <si>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</si>
  <si>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</si>
  <si>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</si>
  <si>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</si>
  <si>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</si>
  <si>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</si>
  <si>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</si>
  <si>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</si>
  <si>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</si>
  <si>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</si>
  <si>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</si>
  <si>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</si>
  <si>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</si>
  <si>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</si>
  <si>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</si>
  <si>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</si>
  <si>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</si>
  <si>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</si>
  <si>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</si>
  <si>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</si>
  <si>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</si>
  <si>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</si>
  <si>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</si>
  <si>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</si>
  <si>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</si>
  <si>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</si>
  <si>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</si>
  <si>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</si>
  <si>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</si>
  <si>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</si>
  <si>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</si>
  <si>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</si>
  <si>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</si>
  <si>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</si>
  <si>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</si>
  <si>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</si>
  <si>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</si>
  <si>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</si>
  <si>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</si>
  <si>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</si>
  <si>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</si>
  <si>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</si>
  <si>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</si>
  <si>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</si>
  <si>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</si>
  <si>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</si>
  <si>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</si>
  <si>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</si>
  <si>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</si>
  <si>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</si>
  <si>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</si>
  <si>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</si>
  <si>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</si>
  <si>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</si>
  <si>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</si>
  <si>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</si>
  <si>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</si>
  <si>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</si>
  <si>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</si>
  <si>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</si>
  <si>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</si>
  <si>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</si>
  <si>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</si>
  <si>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</si>
  <si>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</si>
  <si>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</si>
  <si>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</si>
  <si>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</si>
  <si>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</si>
  <si>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</si>
  <si>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</si>
  <si>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</si>
  <si>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</si>
  <si>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</si>
  <si>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</si>
  <si>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</si>
  <si>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</si>
  <si>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</si>
  <si>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</si>
  <si>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</si>
  <si>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</si>
  <si>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</si>
  <si>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</si>
  <si>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</si>
  <si>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</si>
  <si>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</si>
  <si>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</si>
  <si>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</si>
  <si>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</si>
  <si>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</si>
  <si>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</si>
  <si>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</si>
  <si>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</si>
  <si>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</si>
  <si>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</si>
  <si>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</si>
  <si>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</si>
  <si>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</si>
  <si>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</si>
  <si>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</si>
  <si>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</si>
  <si>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</si>
  <si>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</si>
  <si>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</si>
  <si>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</si>
  <si>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</si>
  <si>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</si>
  <si>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</si>
  <si>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</si>
  <si>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</si>
  <si>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</si>
  <si>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</si>
  <si>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</si>
  <si>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</si>
  <si>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</si>
  <si>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</si>
  <si>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</si>
  <si>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</si>
  <si>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</si>
  <si>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</si>
  <si>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</si>
  <si>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</si>
  <si>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</si>
  <si>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</si>
  <si>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</si>
  <si>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</si>
  <si>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</si>
  <si>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</si>
  <si>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</si>
  <si>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</si>
  <si>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</si>
  <si>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</si>
  <si>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</si>
  <si>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</si>
  <si>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</si>
  <si>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</si>
  <si>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</si>
  <si>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</si>
  <si>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</si>
  <si>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</si>
  <si>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</si>
  <si>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</si>
  <si>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</si>
  <si>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</si>
  <si>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</si>
  <si>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</si>
  <si>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</si>
  <si>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</si>
  <si>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</si>
  <si>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</si>
  <si>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</si>
  <si>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</si>
  <si>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</si>
  <si>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</si>
  <si>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</si>
  <si>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</si>
  <si>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</si>
  <si>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</si>
  <si>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</si>
  <si>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</si>
  <si>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</si>
  <si>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</si>
  <si>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</si>
  <si>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</si>
  <si>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</si>
  <si>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</si>
  <si>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</si>
  <si>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</si>
  <si>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</si>
  <si>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</si>
  <si>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</si>
  <si>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</si>
  <si>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</si>
  <si>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</si>
  <si>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</si>
  <si>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</si>
  <si>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</si>
  <si>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</si>
  <si>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</si>
  <si>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</si>
  <si>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</si>
  <si>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</si>
  <si>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</si>
  <si>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</si>
  <si>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</si>
  <si>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</si>
  <si>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</si>
  <si>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</si>
  <si>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</si>
  <si>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</si>
  <si>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</si>
  <si>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</si>
  <si>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</si>
  <si>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</si>
  <si>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</si>
  <si>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</si>
  <si>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</si>
  <si>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</si>
  <si>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</si>
  <si>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</si>
  <si>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</si>
  <si>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</si>
  <si>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</si>
  <si>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</si>
  <si>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</si>
  <si>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</si>
  <si>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</si>
  <si>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</si>
  <si>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</si>
  <si>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</si>
  <si>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</si>
  <si>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</si>
  <si>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</si>
  <si>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</si>
  <si>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</si>
  <si>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</si>
  <si>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</si>
  <si>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</si>
  <si>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</si>
  <si>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</si>
  <si>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</si>
  <si>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</si>
  <si>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</si>
  <si>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</si>
  <si>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</si>
  <si>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</si>
  <si>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</si>
  <si>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</si>
  <si>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</si>
  <si>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</si>
  <si>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</si>
  <si>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</si>
  <si>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</si>
  <si>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</si>
  <si>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</si>
  <si>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</si>
  <si>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</si>
  <si>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</si>
  <si>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</si>
  <si>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</si>
  <si>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</si>
  <si>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</si>
  <si>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</si>
  <si>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</si>
  <si>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</si>
  <si>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</si>
  <si>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</si>
  <si>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</si>
  <si>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</si>
  <si>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</si>
  <si>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</si>
  <si>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</si>
  <si>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</si>
  <si>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</si>
  <si>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</si>
  <si>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</si>
  <si>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</si>
  <si>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</si>
  <si>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</si>
  <si>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</si>
  <si>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</si>
  <si>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</si>
  <si>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</si>
  <si>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</si>
  <si>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</si>
  <si>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</si>
  <si>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</si>
  <si>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</si>
  <si>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</si>
  <si>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</si>
  <si>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</si>
  <si>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</si>
  <si>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</si>
  <si>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</si>
  <si>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</si>
  <si>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</si>
  <si>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</si>
  <si>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</si>
  <si>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</si>
  <si>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</si>
  <si>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</si>
  <si>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</si>
  <si>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</si>
  <si>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</si>
  <si>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</si>
  <si>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</si>
  <si>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</si>
  <si>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</si>
  <si>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</si>
  <si>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</si>
  <si>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</si>
  <si>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</si>
  <si>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</si>
  <si>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</si>
  <si>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</si>
  <si>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</si>
  <si>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</si>
  <si>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</si>
  <si>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</si>
  <si>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</si>
  <si>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</si>
  <si>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</si>
  <si>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</si>
  <si>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</si>
  <si>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</si>
  <si>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</si>
  <si>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</si>
  <si>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</si>
  <si>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</si>
  <si>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</si>
  <si>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</si>
  <si>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</si>
  <si>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</si>
  <si>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</si>
  <si>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</si>
  <si>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</si>
  <si>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</si>
  <si>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</si>
  <si>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</si>
  <si>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</si>
  <si>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</si>
  <si>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</si>
  <si>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</si>
  <si>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</si>
  <si>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</si>
  <si>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</si>
  <si>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</si>
  <si>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</si>
  <si>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</si>
  <si>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</si>
  <si>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</si>
  <si>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</si>
  <si>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</si>
  <si>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</si>
  <si>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</si>
  <si>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</si>
  <si>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</si>
  <si>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</si>
  <si>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</si>
  <si>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</si>
  <si>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</si>
  <si>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</si>
  <si>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</si>
  <si>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</si>
  <si>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</si>
  <si>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</si>
  <si>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</si>
  <si>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</si>
  <si>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</si>
  <si>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</si>
  <si>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</si>
  <si>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</si>
  <si>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</si>
  <si>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</si>
  <si>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</si>
  <si>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</si>
  <si>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</si>
  <si>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</si>
  <si>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</si>
  <si>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</si>
  <si>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</si>
  <si>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</si>
  <si>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</si>
  <si>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</si>
  <si>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</si>
  <si>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</si>
  <si>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</si>
  <si>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</si>
  <si>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</si>
  <si>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</si>
  <si>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</si>
  <si>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</si>
  <si>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</si>
  <si>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</si>
  <si>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</si>
  <si>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</si>
  <si>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</si>
  <si>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</si>
  <si>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</si>
  <si>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</si>
  <si>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</si>
  <si>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</si>
  <si>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</si>
  <si>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</si>
  <si>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</si>
  <si>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</si>
  <si>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</si>
  <si>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</si>
  <si>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</si>
  <si>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</si>
  <si>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</si>
  <si>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</si>
  <si>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</si>
  <si>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</si>
  <si>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</si>
  <si>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</si>
  <si>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</si>
  <si>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</si>
  <si>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</si>
  <si>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</si>
  <si>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</si>
  <si>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</si>
  <si>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</si>
  <si>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</si>
  <si>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</si>
  <si>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</si>
  <si>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</si>
  <si>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</si>
  <si>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</si>
  <si>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</si>
  <si>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</si>
  <si>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</si>
  <si>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</si>
  <si>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</si>
  <si>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</si>
  <si>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</si>
  <si>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</si>
  <si>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</si>
  <si>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</si>
  <si>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</si>
  <si>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</si>
  <si>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</si>
  <si>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</si>
  <si>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</si>
  <si>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</si>
  <si>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</si>
  <si>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</si>
  <si>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</si>
  <si>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</si>
  <si>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</si>
  <si>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</si>
  <si>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</si>
  <si>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</si>
  <si>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</si>
  <si>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</si>
  <si>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</si>
  <si>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</si>
  <si>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</si>
  <si>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</si>
  <si>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</si>
  <si>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</si>
  <si>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</si>
  <si>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</si>
  <si>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</si>
  <si>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</si>
  <si>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</si>
  <si>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</si>
  <si>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</si>
  <si>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</si>
  <si>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</si>
  <si>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</si>
  <si>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</si>
  <si>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</si>
  <si>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</si>
  <si>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</si>
  <si>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</si>
  <si>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</si>
  <si>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</si>
  <si>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</si>
  <si>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</si>
  <si>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</si>
  <si>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</si>
  <si>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</si>
  <si>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</si>
  <si>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</si>
  <si>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</si>
  <si>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</si>
  <si>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</si>
  <si>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</si>
  <si>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</si>
  <si>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</si>
  <si>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</si>
  <si>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</si>
  <si>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</si>
  <si>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</si>
  <si>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</si>
  <si>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</si>
  <si>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</si>
  <si>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</si>
  <si>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</si>
  <si>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</si>
  <si>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</si>
  <si>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</si>
  <si>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</si>
  <si>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</si>
  <si>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</si>
  <si>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</si>
  <si>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</si>
  <si>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</si>
  <si>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</si>
  <si>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</si>
  <si>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</si>
  <si>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</si>
  <si>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</si>
  <si>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</si>
  <si>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</si>
  <si>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</si>
  <si>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</si>
  <si>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</si>
  <si>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</si>
  <si>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</si>
  <si>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</si>
  <si>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</si>
  <si>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</si>
  <si>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</si>
  <si>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</si>
  <si>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</si>
  <si>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</si>
  <si>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</si>
  <si>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</si>
  <si>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</si>
  <si>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</si>
  <si>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</si>
  <si>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</si>
  <si>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</si>
  <si>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</si>
  <si>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</si>
  <si>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</si>
  <si>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</si>
  <si>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</si>
  <si>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</si>
  <si>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</si>
  <si>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</si>
  <si>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</si>
  <si>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</si>
  <si>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</si>
  <si>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</si>
  <si>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</si>
  <si>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</si>
  <si>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</si>
  <si>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</si>
  <si>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</si>
  <si>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</si>
  <si>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</si>
  <si>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</si>
  <si>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</si>
  <si>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</si>
  <si>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</si>
  <si>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</si>
  <si>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</si>
  <si>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</si>
  <si>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</si>
  <si>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</si>
  <si>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</si>
  <si>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</si>
  <si>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</si>
  <si>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</si>
  <si>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</si>
  <si>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</si>
  <si>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</si>
  <si>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</si>
  <si>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</si>
  <si>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</si>
  <si>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</si>
  <si>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</si>
  <si>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</si>
  <si>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</si>
  <si>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</si>
  <si>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</si>
  <si>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</si>
  <si>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</si>
  <si>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</si>
  <si>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</si>
  <si>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</si>
  <si>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</si>
  <si>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</si>
  <si>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</si>
  <si>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</si>
  <si>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</si>
  <si>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</si>
  <si>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</si>
  <si>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</si>
  <si>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</si>
  <si>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</si>
  <si>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</si>
  <si>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</si>
  <si>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</si>
  <si>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</si>
  <si>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</si>
  <si>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</si>
  <si>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</si>
  <si>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</si>
  <si>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</si>
  <si>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</si>
  <si>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</si>
  <si>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</si>
  <si>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</si>
  <si>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</si>
  <si>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</si>
  <si>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</si>
  <si>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</si>
  <si>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</si>
  <si>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</si>
  <si>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</si>
  <si>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</si>
  <si>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</si>
  <si>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</si>
  <si>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</si>
  <si>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</si>
  <si>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</si>
  <si>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</si>
  <si>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</si>
  <si>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</si>
  <si>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</si>
  <si>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</si>
  <si>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</si>
  <si>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</si>
  <si>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</si>
  <si>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</si>
  <si>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</si>
  <si>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</si>
  <si>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</si>
  <si>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</si>
  <si>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</si>
  <si>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</si>
  <si>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</si>
  <si>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</si>
  <si>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</si>
  <si>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</si>
  <si>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</si>
  <si>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</si>
  <si>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</si>
  <si>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</si>
  <si>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</si>
  <si>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</si>
  <si>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</si>
  <si>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</si>
  <si>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</si>
  <si>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</si>
  <si>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</si>
  <si>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</si>
  <si>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</si>
  <si>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</si>
  <si>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</si>
  <si>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</si>
  <si>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</si>
  <si>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</si>
  <si>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</si>
  <si>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</si>
  <si>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</si>
  <si>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</si>
  <si>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</si>
  <si>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</si>
  <si>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</si>
  <si>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</si>
  <si>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</si>
  <si>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</si>
  <si>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</si>
  <si>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</si>
  <si>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</si>
  <si>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</si>
  <si>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</si>
  <si>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</si>
  <si>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</si>
  <si>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</si>
  <si>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</si>
  <si>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</si>
  <si>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</si>
  <si>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</si>
  <si>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</si>
  <si>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</si>
  <si>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</si>
  <si>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</si>
  <si>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</si>
  <si>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</si>
  <si>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</si>
  <si>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</si>
  <si>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</si>
  <si>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</si>
  <si>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</si>
  <si>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</si>
  <si>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</si>
  <si>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</si>
  <si>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</si>
  <si>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</si>
  <si>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</si>
  <si>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</si>
  <si>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</si>
  <si>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</si>
  <si>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</si>
  <si>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</si>
  <si>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</si>
  <si>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</si>
  <si>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</si>
  <si>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</si>
  <si>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</si>
  <si>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</si>
  <si>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</si>
  <si>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</si>
  <si>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</si>
  <si>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</si>
  <si>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</si>
  <si>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</si>
  <si>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</si>
  <si>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</si>
  <si>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</si>
  <si>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</si>
  <si>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</si>
  <si>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</si>
  <si>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</si>
  <si>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</si>
  <si>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</si>
  <si>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</si>
  <si>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</si>
  <si>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</si>
  <si>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</si>
  <si>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</si>
  <si>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</si>
  <si>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</si>
  <si>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</si>
  <si>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</si>
  <si>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</si>
  <si>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</si>
  <si>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</si>
  <si>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</si>
  <si>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</si>
  <si>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</si>
  <si>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</si>
  <si>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</si>
  <si>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</si>
  <si>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</si>
  <si>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</si>
  <si>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</si>
  <si>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</si>
  <si>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</si>
  <si>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</si>
  <si>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</si>
  <si>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</si>
  <si>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</si>
  <si>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</si>
  <si>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</si>
  <si>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</si>
  <si>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</si>
  <si>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</si>
  <si>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</si>
  <si>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</si>
  <si>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</si>
  <si>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</si>
  <si>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</si>
  <si>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</si>
  <si>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</si>
  <si>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</si>
  <si>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</si>
  <si>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</si>
  <si>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</si>
  <si>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</si>
  <si>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</si>
  <si>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</si>
  <si>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</si>
  <si>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</si>
  <si>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</si>
  <si>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</si>
  <si>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</si>
  <si>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</si>
  <si>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</si>
  <si>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</si>
  <si>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</si>
  <si>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</si>
  <si>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</si>
  <si>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</si>
  <si>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</si>
  <si>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</si>
  <si>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</si>
  <si>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</si>
  <si>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</si>
  <si>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</si>
  <si>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</si>
  <si>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</si>
  <si>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</si>
  <si>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</si>
  <si>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</si>
  <si>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</si>
  <si>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</si>
  <si>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</si>
  <si>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</si>
  <si>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</si>
  <si>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</si>
  <si>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</si>
  <si>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</si>
  <si>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</si>
  <si>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</si>
  <si>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</si>
  <si>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</si>
  <si>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</si>
  <si>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</si>
  <si>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</si>
  <si>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</si>
  <si>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</si>
  <si>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</si>
  <si>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</si>
  <si>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</si>
  <si>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</si>
  <si>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</si>
  <si>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</si>
  <si>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</si>
  <si>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</si>
  <si>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</si>
  <si>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</si>
  <si>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</si>
  <si>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</si>
  <si>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</si>
  <si>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</si>
  <si>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</si>
  <si>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</si>
  <si>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</si>
  <si>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</si>
  <si>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</si>
  <si>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</si>
  <si>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</si>
  <si>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</si>
  <si>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</si>
  <si>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</si>
  <si>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</si>
  <si>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</si>
  <si>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</si>
  <si>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</si>
  <si>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</si>
  <si>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</si>
  <si>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</si>
  <si>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</si>
  <si>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</si>
  <si>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</si>
  <si>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</si>
  <si>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</si>
  <si>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</si>
  <si>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</si>
  <si>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</si>
  <si>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</si>
  <si>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</si>
  <si>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</si>
  <si>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</si>
  <si>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</si>
  <si>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</si>
  <si>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</si>
  <si>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</si>
  <si>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</si>
  <si>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</si>
  <si>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</si>
  <si>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</si>
  <si>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</si>
  <si>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</si>
  <si>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</si>
  <si>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</si>
  <si>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</si>
  <si>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</si>
  <si>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</si>
  <si>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</si>
  <si>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</si>
  <si>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</si>
  <si>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</si>
  <si>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</si>
  <si>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</si>
  <si>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</si>
  <si>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</si>
  <si>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</si>
  <si>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</si>
  <si>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</si>
  <si>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</si>
  <si>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</si>
  <si>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</si>
  <si>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</si>
  <si>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</si>
  <si>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</si>
  <si>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</si>
  <si>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</si>
  <si>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</si>
  <si>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</si>
  <si>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</si>
  <si>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</si>
  <si>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</si>
  <si>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</si>
  <si>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</si>
  <si>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</si>
  <si>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</si>
  <si>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</si>
  <si>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</si>
  <si>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</si>
  <si>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</si>
  <si>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</si>
  <si>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</si>
  <si>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</si>
  <si>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</si>
  <si>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</si>
  <si>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</si>
  <si>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</si>
  <si>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</si>
  <si>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</si>
  <si>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</si>
  <si>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</si>
  <si>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</si>
  <si>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</si>
  <si>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</si>
  <si>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</si>
  <si>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</si>
  <si>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</si>
  <si>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</si>
  <si>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</si>
  <si>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</si>
  <si>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</si>
  <si>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</si>
  <si>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</si>
  <si>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</si>
  <si>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</si>
  <si>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</si>
  <si>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</si>
  <si>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</si>
  <si>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</si>
  <si>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</si>
  <si>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</si>
  <si>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</si>
  <si>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</si>
  <si>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</si>
  <si>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</si>
  <si>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</si>
  <si>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</si>
  <si>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</si>
  <si>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</si>
  <si>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</si>
  <si>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</si>
  <si>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</si>
  <si>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</si>
  <si>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</si>
  <si>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</si>
  <si>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</si>
  <si>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</si>
  <si>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</si>
  <si>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</si>
  <si>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</si>
  <si>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</si>
  <si>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</si>
  <si>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</si>
  <si>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</si>
  <si>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</si>
  <si>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</si>
  <si>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</si>
  <si>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</si>
  <si>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</si>
  <si>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</si>
  <si>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</si>
  <si>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</si>
  <si>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</si>
  <si>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</si>
  <si>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</si>
  <si>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</si>
  <si>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</si>
  <si>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</si>
  <si>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</si>
  <si>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</si>
  <si>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</si>
  <si>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</si>
  <si>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</si>
  <si>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</si>
  <si>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</si>
  <si>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</si>
  <si>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</si>
  <si>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</si>
  <si>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</si>
  <si>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</si>
  <si>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</si>
  <si>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</si>
  <si>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</si>
  <si>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</si>
  <si>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</si>
  <si>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</si>
  <si>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</si>
  <si>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</si>
  <si>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</si>
  <si>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</si>
  <si>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</si>
  <si>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</si>
  <si>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</si>
  <si>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</si>
  <si>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</si>
  <si>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</si>
  <si>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</si>
  <si>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</si>
  <si>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</si>
  <si>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</si>
  <si>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</si>
  <si>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</si>
  <si>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</si>
  <si>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</si>
  <si>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</si>
  <si>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</si>
  <si>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</si>
  <si>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</si>
  <si>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</si>
  <si>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</si>
  <si>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</si>
  <si>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</si>
  <si>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</si>
  <si>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</si>
  <si>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</si>
  <si>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</si>
  <si>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</si>
  <si>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</si>
  <si>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</si>
  <si>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</si>
  <si>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</si>
  <si>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</si>
  <si>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</si>
  <si>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</si>
  <si>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</si>
  <si>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</si>
  <si>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</si>
  <si>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</si>
  <si>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</si>
  <si>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</si>
  <si>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</si>
  <si>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</si>
  <si>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</si>
  <si>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</si>
  <si>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</si>
  <si>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</si>
  <si>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</si>
  <si>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</si>
  <si>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</si>
  <si>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</si>
  <si>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</si>
  <si>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</si>
  <si>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</si>
  <si>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</si>
  <si>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</si>
  <si>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</si>
  <si>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</si>
  <si>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</si>
  <si>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</si>
  <si>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</si>
  <si>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</si>
  <si>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</si>
  <si>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</si>
  <si>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</si>
  <si>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</si>
  <si>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</si>
  <si>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</si>
  <si>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</si>
  <si>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</si>
  <si>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</si>
  <si>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</si>
  <si>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</si>
  <si>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</si>
  <si>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</si>
  <si>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</si>
  <si>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</si>
  <si>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</si>
  <si>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</si>
  <si>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</si>
  <si>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</si>
  <si>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</si>
  <si>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</si>
  <si>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</si>
  <si>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</si>
  <si>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</si>
  <si>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</si>
  <si>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</si>
  <si>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</si>
  <si>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</si>
  <si>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</si>
  <si>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</si>
  <si>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</si>
  <si>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</si>
  <si>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</si>
  <si>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</si>
  <si>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</si>
  <si>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</si>
  <si>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</si>
  <si>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</si>
  <si>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</si>
  <si>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</si>
  <si>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</si>
  <si>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</si>
  <si>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</si>
  <si>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</si>
  <si>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</si>
  <si>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</si>
  <si>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</si>
  <si>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</si>
  <si>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</si>
  <si>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</si>
  <si>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</si>
  <si>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</si>
  <si>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</si>
  <si>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</si>
  <si>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</si>
  <si>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</si>
  <si>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</si>
  <si>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</si>
  <si>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</si>
  <si>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</si>
  <si>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</si>
  <si>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</si>
  <si>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</si>
  <si>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</si>
  <si>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</si>
  <si>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</si>
  <si>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</si>
  <si>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</si>
  <si>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</si>
  <si>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</si>
  <si>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</si>
  <si>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</si>
  <si>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</si>
  <si>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</si>
  <si>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</si>
  <si>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</si>
  <si>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</si>
  <si>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</si>
  <si>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</si>
  <si>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</si>
  <si>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</si>
  <si>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</si>
  <si>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</si>
  <si>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</si>
  <si>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</si>
  <si>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</si>
  <si>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</si>
  <si>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</si>
  <si>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</si>
  <si>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</si>
  <si>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</si>
  <si>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</si>
  <si>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</si>
  <si>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</si>
  <si>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</si>
  <si>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</si>
  <si>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</si>
  <si>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</si>
  <si>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</si>
  <si>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</si>
  <si>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</si>
  <si>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</si>
  <si>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</si>
  <si>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</si>
  <si>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</si>
  <si>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</si>
  <si>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</si>
  <si>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</si>
  <si>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</si>
  <si>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</si>
  <si>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</si>
  <si>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</si>
  <si>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</si>
  <si>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</si>
  <si>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</si>
  <si>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</si>
  <si>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</si>
  <si>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</si>
  <si>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</si>
  <si>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</si>
  <si>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</si>
  <si>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</si>
  <si>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</si>
  <si>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</si>
  <si>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</si>
  <si>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</si>
  <si>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</si>
  <si>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</si>
  <si>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</si>
  <si>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</si>
  <si>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</si>
  <si>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</si>
  <si>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</si>
  <si>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</si>
  <si>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</si>
  <si>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</si>
  <si>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</si>
  <si>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</si>
  <si>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</si>
  <si>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</si>
  <si>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</si>
  <si>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</si>
  <si>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</si>
  <si>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</si>
  <si>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</si>
  <si>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</si>
  <si>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</si>
  <si>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</si>
  <si>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</si>
  <si>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</si>
  <si>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</si>
  <si>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</si>
  <si>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</si>
  <si>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</si>
  <si>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</si>
  <si>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</si>
  <si>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</si>
  <si>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</si>
  <si>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</si>
  <si>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</si>
  <si>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</si>
  <si>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</si>
  <si>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</si>
  <si>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</si>
  <si>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</si>
  <si>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</si>
  <si>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</si>
  <si>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</si>
  <si>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</si>
  <si>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</si>
  <si>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</si>
  <si>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</si>
  <si>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</si>
  <si>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</si>
  <si>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</si>
  <si>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</si>
  <si>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</si>
  <si>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</si>
  <si>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</si>
  <si>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</si>
  <si>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</si>
  <si>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</si>
  <si>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</si>
  <si>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</si>
  <si>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</si>
  <si>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</si>
  <si>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</si>
  <si>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</si>
  <si>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</si>
  <si>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</si>
  <si>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</si>
  <si>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</si>
  <si>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</si>
  <si>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</si>
  <si>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</si>
  <si>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</si>
  <si>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</si>
  <si>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</si>
  <si>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</si>
  <si>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</si>
  <si>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</si>
  <si>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</si>
  <si>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</si>
  <si>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</si>
  <si>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</si>
  <si>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</si>
  <si>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</si>
  <si>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</si>
  <si>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</si>
  <si>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</si>
  <si>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</si>
  <si>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</si>
  <si>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</si>
  <si>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</si>
  <si>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</si>
  <si>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</si>
  <si>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</si>
  <si>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</si>
  <si>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</si>
  <si>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</si>
  <si>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</si>
  <si>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</si>
  <si>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</si>
  <si>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</si>
  <si>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</si>
  <si>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</si>
  <si>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</si>
  <si>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</si>
  <si>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</si>
  <si>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</si>
  <si>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</si>
  <si>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</si>
  <si>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</si>
  <si>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</si>
  <si>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</si>
  <si>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</si>
  <si>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</si>
  <si>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</si>
  <si>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</si>
  <si>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</si>
  <si>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</si>
  <si>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</si>
  <si>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</si>
  <si>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</si>
  <si>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</si>
  <si>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</si>
  <si>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</si>
  <si>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</si>
  <si>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</si>
  <si>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</si>
  <si>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</si>
  <si>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</si>
  <si>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</si>
  <si>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</si>
  <si>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</si>
  <si>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</si>
  <si>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</si>
  <si>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</si>
  <si>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</si>
  <si>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</si>
  <si>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</si>
  <si>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</si>
  <si>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</si>
  <si>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</si>
  <si>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</si>
  <si>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</si>
  <si>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</si>
  <si>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</si>
  <si>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</si>
  <si>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</si>
  <si>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</si>
  <si>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</si>
  <si>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</si>
  <si>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</si>
  <si>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</si>
  <si>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</si>
  <si>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</si>
  <si>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</si>
  <si>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</si>
  <si>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</si>
  <si>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</si>
  <si>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</si>
  <si>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</si>
  <si>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</si>
  <si>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</si>
  <si>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</si>
  <si>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</si>
  <si>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</si>
  <si>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</si>
  <si>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</si>
  <si>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</si>
  <si>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</si>
  <si>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</si>
  <si>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</si>
  <si>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</si>
  <si>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</si>
  <si>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</si>
  <si>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</si>
  <si>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</si>
  <si>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</si>
  <si>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</si>
  <si>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</si>
  <si>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</si>
  <si>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</si>
  <si>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</si>
  <si>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</si>
  <si>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</si>
  <si>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</si>
  <si>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</si>
  <si>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</si>
  <si>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</si>
  <si>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</si>
  <si>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</si>
  <si>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</si>
  <si>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</si>
  <si>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</si>
  <si>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</si>
  <si>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</si>
  <si>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</si>
  <si>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</si>
  <si>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</si>
  <si>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</si>
  <si>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</si>
  <si>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</si>
  <si>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</si>
  <si>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</si>
  <si>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</si>
  <si>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</si>
  <si>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</si>
  <si>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</si>
  <si>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</si>
  <si>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</si>
  <si>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</si>
  <si>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</si>
  <si>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</si>
  <si>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</si>
  <si>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</si>
  <si>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</si>
  <si>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</si>
  <si>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</si>
  <si>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</si>
  <si>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</si>
  <si>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</si>
  <si>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</si>
  <si>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</si>
  <si>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</si>
  <si>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</si>
  <si>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</si>
  <si>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</si>
  <si>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</si>
  <si>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</si>
  <si>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</si>
  <si>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</si>
  <si>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</si>
  <si>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</si>
  <si>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</si>
  <si>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</si>
  <si>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</si>
  <si>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</si>
  <si>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</si>
  <si>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</si>
  <si>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</si>
  <si>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</si>
  <si>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</si>
  <si>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</si>
  <si>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</si>
  <si>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</si>
  <si>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</si>
  <si>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</si>
  <si>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</si>
  <si>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</si>
  <si>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</si>
  <si>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</si>
  <si>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</si>
  <si>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</si>
  <si>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</si>
  <si>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</si>
  <si>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</si>
  <si>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</si>
  <si>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</si>
  <si>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</si>
  <si>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</si>
  <si>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</si>
  <si>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</si>
  <si>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</si>
  <si>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</si>
  <si>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</si>
  <si>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</si>
  <si>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</si>
  <si>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</si>
  <si>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</si>
  <si>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</si>
  <si>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</si>
  <si>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</si>
  <si>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</si>
  <si>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</si>
  <si>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</si>
  <si>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</si>
  <si>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</si>
  <si>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</si>
  <si>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</si>
  <si>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</si>
  <si>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</si>
  <si>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</si>
  <si>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</si>
  <si>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</si>
  <si>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</si>
  <si>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</si>
  <si>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</si>
  <si>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</si>
  <si>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</si>
  <si>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</si>
  <si>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</si>
  <si>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</si>
  <si>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</si>
  <si>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</si>
  <si>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</si>
  <si>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</si>
  <si>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</si>
  <si>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</si>
  <si>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</si>
  <si>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</si>
  <si>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</si>
  <si>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</si>
  <si>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</si>
  <si>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</si>
  <si>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</si>
  <si>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</si>
  <si>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</si>
  <si>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</si>
  <si>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</si>
  <si>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</si>
  <si>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</si>
  <si>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</si>
  <si>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</si>
  <si>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</si>
  <si>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</si>
  <si>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</si>
  <si>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</si>
  <si>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</si>
  <si>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</si>
  <si>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</si>
  <si>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</si>
  <si>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</si>
  <si>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</si>
  <si>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</si>
  <si>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</si>
  <si>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</si>
  <si>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</si>
  <si>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</si>
  <si>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</si>
  <si>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</si>
  <si>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</si>
  <si>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</si>
  <si>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</si>
  <si>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</si>
  <si>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</si>
  <si>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</si>
  <si>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</si>
  <si>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</si>
  <si>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</si>
  <si>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</si>
  <si>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</si>
  <si>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</si>
  <si>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</si>
  <si>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</si>
  <si>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</si>
  <si>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</si>
  <si>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</si>
  <si>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</si>
  <si>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</si>
  <si>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</si>
  <si>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</si>
  <si>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</si>
  <si>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</si>
  <si>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</si>
  <si>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</si>
  <si>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</si>
  <si>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</si>
  <si>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</si>
  <si>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</si>
  <si>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</si>
  <si>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</si>
  <si>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</si>
  <si>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</si>
  <si>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</si>
  <si>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</si>
  <si>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</si>
  <si>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</si>
  <si>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</si>
  <si>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</si>
  <si>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</si>
  <si>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</si>
  <si>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</si>
  <si>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</si>
  <si>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</si>
  <si>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</si>
  <si>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</si>
  <si>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</si>
  <si>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</si>
  <si>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</si>
  <si>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</si>
  <si>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</si>
  <si>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</si>
  <si>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</si>
  <si>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</si>
  <si>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</si>
  <si>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</si>
  <si>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</si>
  <si>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</si>
  <si>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</si>
  <si>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</si>
  <si>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</si>
  <si>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</si>
  <si>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</si>
  <si>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</si>
  <si>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</si>
  <si>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</si>
  <si>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</si>
  <si>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</si>
  <si>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</si>
  <si>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</si>
  <si>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</si>
  <si>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</si>
  <si>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</si>
  <si>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</si>
  <si>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</si>
  <si>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</si>
  <si>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</si>
  <si>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</si>
  <si>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</si>
  <si>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</si>
  <si>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</si>
  <si>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</si>
  <si>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</si>
  <si>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</si>
  <si>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</si>
  <si>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</si>
  <si>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</si>
  <si>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</si>
  <si>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</si>
  <si>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</si>
  <si>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</si>
  <si>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</si>
  <si>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</si>
  <si>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</si>
  <si>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</si>
  <si>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</si>
  <si>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</si>
  <si>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</si>
  <si>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</si>
  <si>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</si>
  <si>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</si>
  <si>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</si>
  <si>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</si>
  <si>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</si>
  <si>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</si>
  <si>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</si>
  <si>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</si>
  <si>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</si>
  <si>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</si>
  <si>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</si>
  <si>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</si>
  <si>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</si>
  <si>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</si>
  <si>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</si>
  <si>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</si>
  <si>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</si>
  <si>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</si>
  <si>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</si>
  <si>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</si>
  <si>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</si>
  <si>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</si>
  <si>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</si>
  <si>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</si>
  <si>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</si>
  <si>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</si>
  <si>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</si>
  <si>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</si>
  <si>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</si>
  <si>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</si>
  <si>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</si>
  <si>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</si>
  <si>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</si>
  <si>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</si>
  <si>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</si>
  <si>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</si>
  <si>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</si>
  <si>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</si>
  <si>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</si>
  <si>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</si>
  <si>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</si>
  <si>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</si>
  <si>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</si>
  <si>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</si>
  <si>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</si>
  <si>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</si>
  <si>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</si>
  <si>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</si>
  <si>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</si>
  <si>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</si>
  <si>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</si>
  <si>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</si>
  <si>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</si>
  <si>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</si>
  <si>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</si>
  <si>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</si>
  <si>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</si>
  <si>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</si>
  <si>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</si>
  <si>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</si>
  <si>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</si>
  <si>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</si>
  <si>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</si>
  <si>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</si>
  <si>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</si>
  <si>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</si>
  <si>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</si>
  <si>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</si>
  <si>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</si>
  <si>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</si>
  <si>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</si>
  <si>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</si>
  <si>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</si>
  <si>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</si>
  <si>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</si>
  <si>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</si>
  <si>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</si>
  <si>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</si>
  <si>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</si>
  <si>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</si>
  <si>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</si>
  <si>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</si>
  <si>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</si>
  <si>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</si>
  <si>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</si>
  <si>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</si>
  <si>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</si>
  <si>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</si>
  <si>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</si>
  <si>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</si>
  <si>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</si>
  <si>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</si>
  <si>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</si>
  <si>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</si>
  <si>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</si>
  <si>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</si>
  <si>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</si>
  <si>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</si>
  <si>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</si>
  <si>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</si>
  <si>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</si>
  <si>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</si>
  <si>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</si>
  <si>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</si>
  <si>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</si>
  <si>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</si>
  <si>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</si>
  <si>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</si>
  <si>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</si>
  <si>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</si>
  <si>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</si>
  <si>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</si>
  <si>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</si>
  <si>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</si>
  <si>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</si>
  <si>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</si>
  <si>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</si>
  <si>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</si>
  <si>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</si>
  <si>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</si>
  <si>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</si>
  <si>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</si>
  <si>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</si>
  <si>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</si>
  <si>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</si>
  <si>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</si>
  <si>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</si>
  <si>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</si>
  <si>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</si>
  <si>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</si>
  <si>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</si>
  <si>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</si>
  <si>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</si>
  <si>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</si>
  <si>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</si>
  <si>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</si>
  <si>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</si>
  <si>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</si>
  <si>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</si>
  <si>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</si>
  <si>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</si>
  <si>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</si>
  <si>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</si>
  <si>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</si>
  <si>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</si>
  <si>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</si>
  <si>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</si>
  <si>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</si>
  <si>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</si>
  <si>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</si>
  <si>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</si>
  <si>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</si>
  <si>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</si>
  <si>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</si>
  <si>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</si>
  <si>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</si>
  <si>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</si>
  <si>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</si>
  <si>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</si>
  <si>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</si>
  <si>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</si>
  <si>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</si>
  <si>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</si>
  <si>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</si>
  <si>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</si>
  <si>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</si>
  <si>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</si>
  <si>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</si>
  <si>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</si>
  <si>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</si>
  <si>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</si>
  <si>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</si>
  <si>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</si>
  <si>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</si>
  <si>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</si>
  <si>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</si>
  <si>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</si>
  <si>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</si>
  <si>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</si>
  <si>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</si>
  <si>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</si>
  <si>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</si>
  <si>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</si>
  <si>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</si>
  <si>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</si>
  <si>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</si>
  <si>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</si>
  <si>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</si>
  <si>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</si>
  <si>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</si>
  <si>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</si>
  <si>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</si>
  <si>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</si>
  <si>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</si>
  <si>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</si>
  <si>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</si>
  <si>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</si>
  <si>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</si>
  <si>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</si>
  <si>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</si>
  <si>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</si>
  <si>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</si>
  <si>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</si>
  <si>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</si>
  <si>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</si>
  <si>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</si>
  <si>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</si>
  <si>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</si>
  <si>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</si>
  <si>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</si>
  <si>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</si>
  <si>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</si>
  <si>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</si>
  <si>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</si>
  <si>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</si>
  <si>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</si>
  <si>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</si>
  <si>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</si>
  <si>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</si>
  <si>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</si>
  <si>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</si>
  <si>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</si>
  <si>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</si>
  <si>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</si>
  <si>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</si>
  <si>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</si>
  <si>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</si>
  <si>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</si>
  <si>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</si>
  <si>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</si>
  <si>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</si>
  <si>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</si>
  <si>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</si>
  <si>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</si>
  <si>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</si>
  <si>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</si>
  <si>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</si>
  <si>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</si>
  <si>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</si>
  <si>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</si>
  <si>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</si>
  <si>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</si>
  <si>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</si>
  <si>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</si>
  <si>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</si>
  <si>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</si>
  <si>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</si>
  <si>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</si>
  <si>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</si>
  <si>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</si>
  <si>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</si>
  <si>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</si>
  <si>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</si>
  <si>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</si>
  <si>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</si>
  <si>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</si>
  <si>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</si>
  <si>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</si>
  <si>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</si>
  <si>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</si>
  <si>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</si>
  <si>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</si>
  <si>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</si>
  <si>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</si>
  <si>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</si>
  <si>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</si>
  <si>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</si>
  <si>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</si>
  <si>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</si>
  <si>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</si>
  <si>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</si>
  <si>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</si>
  <si>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</si>
  <si>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</si>
  <si>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</si>
  <si>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</si>
  <si>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</si>
  <si>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</si>
  <si>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</si>
  <si>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</si>
  <si>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</si>
  <si>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</si>
  <si>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</si>
  <si>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</si>
  <si>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</si>
  <si>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</si>
  <si>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</si>
  <si>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</si>
  <si>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</si>
  <si>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</si>
  <si>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</si>
  <si>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</si>
  <si>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</si>
  <si>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</si>
  <si>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</si>
  <si>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</si>
  <si>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</si>
  <si>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</si>
  <si>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</si>
  <si>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</si>
  <si>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</si>
  <si>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</si>
  <si>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</si>
  <si>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</si>
  <si>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</si>
  <si>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</si>
  <si>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</si>
  <si>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</si>
  <si>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</si>
  <si>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</si>
  <si>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</si>
  <si>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</si>
  <si>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</si>
  <si>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</si>
  <si>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</si>
  <si>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</si>
  <si>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</si>
  <si>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</si>
  <si>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</si>
  <si>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</si>
  <si>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</si>
  <si>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</si>
  <si>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</si>
  <si>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</si>
  <si>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</si>
  <si>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</si>
  <si>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</si>
  <si>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</si>
  <si>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</si>
  <si>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</si>
  <si>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</si>
  <si>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</si>
  <si>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</si>
  <si>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</si>
  <si>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</si>
  <si>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</si>
  <si>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</si>
  <si>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</si>
  <si>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</si>
  <si>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</si>
  <si>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</si>
  <si>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</si>
  <si>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</si>
  <si>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</si>
  <si>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</si>
  <si>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</si>
  <si>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</si>
  <si>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</si>
  <si>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</si>
  <si>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</si>
  <si>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</si>
  <si>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</si>
  <si>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</si>
  <si>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</si>
  <si>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</si>
  <si>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</si>
  <si>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</si>
  <si>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</si>
  <si>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</si>
  <si>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</si>
  <si>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</si>
  <si>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</si>
  <si>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</si>
  <si>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</si>
  <si>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</si>
  <si>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</si>
  <si>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</si>
  <si>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</si>
  <si>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</si>
  <si>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</si>
  <si>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</si>
  <si>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</si>
  <si>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</si>
  <si>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</si>
  <si>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</si>
  <si>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</si>
  <si>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</si>
  <si>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</si>
  <si>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</si>
  <si>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</si>
  <si>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</si>
  <si>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</si>
  <si>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</si>
  <si>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</si>
  <si>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</si>
  <si>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</si>
  <si>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</si>
  <si>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</si>
  <si>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</si>
  <si>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</si>
  <si>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</si>
  <si>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</si>
  <si>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</si>
  <si>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</si>
  <si>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</si>
  <si>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</si>
  <si>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</si>
  <si>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</si>
  <si>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</si>
  <si>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</si>
  <si>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</si>
  <si>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</si>
  <si>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</si>
  <si>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</si>
  <si>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</si>
  <si>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</si>
  <si>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</si>
  <si>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</si>
  <si>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</si>
  <si>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</si>
  <si>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</si>
  <si>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</si>
  <si>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</si>
  <si>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</si>
  <si>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</si>
  <si>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</si>
  <si>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</si>
  <si>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</si>
  <si>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</si>
  <si>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</si>
  <si>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</si>
  <si>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</si>
  <si>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</si>
  <si>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</si>
  <si>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</si>
  <si>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</si>
  <si>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</si>
  <si>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</si>
  <si>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</si>
  <si>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</si>
  <si>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</si>
  <si>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</si>
  <si>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</si>
  <si>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</si>
  <si>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</si>
  <si>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</si>
  <si>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</si>
  <si>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</si>
  <si>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</si>
  <si>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</si>
  <si>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</si>
  <si>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</si>
  <si>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</si>
  <si>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</si>
  <si>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</si>
  <si>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</si>
  <si>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</si>
  <si>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</si>
  <si>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</si>
  <si>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</si>
  <si>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</si>
  <si>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</si>
  <si>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</si>
  <si>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</si>
  <si>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</si>
  <si>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</si>
  <si>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</si>
  <si>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</si>
  <si>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</si>
  <si>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</si>
  <si>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</si>
  <si>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</si>
  <si>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</si>
  <si>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</si>
  <si>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</si>
  <si>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</si>
  <si>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</si>
  <si>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</si>
  <si>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</si>
  <si>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</si>
  <si>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</si>
  <si>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</si>
  <si>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</si>
  <si>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</si>
  <si>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</si>
  <si>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</si>
  <si>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</si>
  <si>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</si>
  <si>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</si>
  <si>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</si>
  <si>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</si>
  <si>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</si>
  <si>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</si>
  <si>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</si>
  <si>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</si>
  <si>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</si>
  <si>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</si>
  <si>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</si>
  <si>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</si>
  <si>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</si>
  <si>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</si>
  <si>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</si>
  <si>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</si>
  <si>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</si>
  <si>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</si>
  <si>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</si>
  <si>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</si>
  <si>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</si>
  <si>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</si>
  <si>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</si>
  <si>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</si>
  <si>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</si>
  <si>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</si>
  <si>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</si>
  <si>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</si>
  <si>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</si>
  <si>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</si>
  <si>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</si>
  <si>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</si>
  <si>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</si>
  <si>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</si>
  <si>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</si>
  <si>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</si>
  <si>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</si>
  <si>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</si>
  <si>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</si>
  <si>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</si>
  <si>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</si>
  <si>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</si>
  <si>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</si>
  <si>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</si>
  <si>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</si>
  <si>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</si>
  <si>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</si>
  <si>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</si>
  <si>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</si>
  <si>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</si>
  <si>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</si>
  <si>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</si>
  <si>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</si>
  <si>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</si>
  <si>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</si>
  <si>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</si>
  <si>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</si>
  <si>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</si>
  <si>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</si>
  <si>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</si>
  <si>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</si>
  <si>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</si>
  <si>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</si>
  <si>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</si>
  <si>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</si>
  <si>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</si>
  <si>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</si>
  <si>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</si>
  <si>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</si>
  <si>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</si>
  <si>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</si>
  <si>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</si>
  <si>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</si>
  <si>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</si>
  <si>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</si>
  <si>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</si>
  <si>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</si>
  <si>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</si>
  <si>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</si>
  <si>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</si>
  <si>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</si>
  <si>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</si>
  <si>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</si>
  <si>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</si>
  <si>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</si>
  <si>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</si>
  <si>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</si>
  <si>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</si>
  <si>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</si>
  <si>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</si>
  <si>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</si>
  <si>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</si>
  <si>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</si>
  <si>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</si>
  <si>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</si>
  <si>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</si>
  <si>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</si>
  <si>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</si>
  <si>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</si>
  <si>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</si>
  <si>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</si>
  <si>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</si>
  <si>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</si>
  <si>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</si>
  <si>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</si>
  <si>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</si>
  <si>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</si>
  <si>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</si>
  <si>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</si>
  <si>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</si>
  <si>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</si>
  <si>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</si>
  <si>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</si>
  <si>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</si>
  <si>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</si>
  <si>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</si>
  <si>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</si>
  <si>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</si>
  <si>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</si>
  <si>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</si>
  <si>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</si>
  <si>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</si>
  <si>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</si>
  <si>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</si>
  <si>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</si>
  <si>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</si>
  <si>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</si>
  <si>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</si>
  <si>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</si>
  <si>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</si>
  <si>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</si>
  <si>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</si>
  <si>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</si>
  <si>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</si>
  <si>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</si>
  <si>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</si>
  <si>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</si>
  <si>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</si>
  <si>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</si>
  <si>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</si>
  <si>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</si>
  <si>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</si>
  <si>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</si>
  <si>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</si>
  <si>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</si>
  <si>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</si>
  <si>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</si>
  <si>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</si>
  <si>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</si>
  <si>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</si>
  <si>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</si>
  <si>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</si>
  <si>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</si>
  <si>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</si>
  <si>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</si>
  <si>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</si>
  <si>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</si>
  <si>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</si>
  <si>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</si>
  <si>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</si>
  <si>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</si>
  <si>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</si>
  <si>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</si>
  <si>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</si>
  <si>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</si>
  <si>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</si>
  <si>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</si>
  <si>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</si>
  <si>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</si>
  <si>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</si>
  <si>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</si>
  <si>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</si>
  <si>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</si>
  <si>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</si>
  <si>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</si>
  <si>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</si>
  <si>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</si>
  <si>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</si>
  <si>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</si>
  <si>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</si>
  <si>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</si>
  <si>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</si>
  <si>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</si>
  <si>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</si>
  <si>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</si>
  <si>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</si>
  <si>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</si>
  <si>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</si>
  <si>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</si>
  <si>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</si>
  <si>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</si>
  <si>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</si>
  <si>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</si>
  <si>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</si>
  <si>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</si>
  <si>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</si>
  <si>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</si>
  <si>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</si>
  <si>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</si>
  <si>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</si>
  <si>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</si>
  <si>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</si>
  <si>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</si>
  <si>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</si>
  <si>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</si>
  <si>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</si>
  <si>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</si>
  <si>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</si>
  <si>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</si>
  <si>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</si>
  <si>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</si>
  <si>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</si>
  <si>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</si>
  <si>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</si>
  <si>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</si>
  <si>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</si>
  <si>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</si>
  <si>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</si>
  <si>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</si>
  <si>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</si>
  <si>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</si>
  <si>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</si>
  <si>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</si>
  <si>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</si>
  <si>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</si>
  <si>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</si>
  <si>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</si>
  <si>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</si>
  <si>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</si>
  <si>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</si>
  <si>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</si>
  <si>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</si>
  <si>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</si>
  <si>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</si>
  <si>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</si>
  <si>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</si>
  <si>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</si>
  <si>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</si>
  <si>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</si>
  <si>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</si>
  <si>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</si>
  <si>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</si>
  <si>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</si>
  <si>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</si>
  <si>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</si>
  <si>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</si>
  <si>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</si>
  <si>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</si>
  <si>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</si>
  <si>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</si>
  <si>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</si>
  <si>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</si>
  <si>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</si>
  <si>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</si>
  <si>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</si>
  <si>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</si>
  <si>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</si>
  <si>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</si>
  <si>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</si>
  <si>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</si>
  <si>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</si>
  <si>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</si>
  <si>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</si>
  <si>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</si>
  <si>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</si>
  <si>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</si>
  <si>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</si>
  <si>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</si>
  <si>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</si>
  <si>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</si>
  <si>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</si>
  <si>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</si>
  <si>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</si>
  <si>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</si>
  <si>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</si>
  <si>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</si>
  <si>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</si>
  <si>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</si>
  <si>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</si>
  <si>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</si>
  <si>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</si>
  <si>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</si>
  <si>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</si>
  <si>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</si>
  <si>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</si>
  <si>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</si>
  <si>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</si>
  <si>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</si>
  <si>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</si>
  <si>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</si>
  <si>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</si>
  <si>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</si>
  <si>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</si>
  <si>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</si>
  <si>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</si>
  <si>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</si>
  <si>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</si>
  <si>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</si>
  <si>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</si>
  <si>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</si>
  <si>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</si>
  <si>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</si>
  <si>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</si>
  <si>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</si>
  <si>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</si>
  <si>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</si>
  <si>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</si>
  <si>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</si>
  <si>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</si>
  <si>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</si>
  <si>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</si>
  <si>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</si>
  <si>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</si>
  <si>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</si>
  <si>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</si>
  <si>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</si>
  <si>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</si>
  <si>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</si>
  <si>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</si>
  <si>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</si>
  <si>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</si>
  <si>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</si>
  <si>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</si>
  <si>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</si>
  <si>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</si>
  <si>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</si>
  <si>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</si>
  <si>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</si>
  <si>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</si>
  <si>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</si>
  <si>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</si>
  <si>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</si>
  <si>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</si>
  <si>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</si>
  <si>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</si>
  <si>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</si>
  <si>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</si>
  <si>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</si>
  <si>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</si>
  <si>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</si>
  <si>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</si>
  <si>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</si>
  <si>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</si>
  <si>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</si>
  <si>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</si>
  <si>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</si>
  <si>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</si>
  <si>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</si>
  <si>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</si>
  <si>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</si>
  <si>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</si>
  <si>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</si>
  <si>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</si>
  <si>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</si>
  <si>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</si>
  <si>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</si>
  <si>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</si>
  <si>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</si>
  <si>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</si>
  <si>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</si>
  <si>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</si>
  <si>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</si>
  <si>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</si>
  <si>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</si>
  <si>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</si>
  <si>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</si>
  <si>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</si>
  <si>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</si>
  <si>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</si>
  <si>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</si>
  <si>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</si>
  <si>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</si>
  <si>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</si>
  <si>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</si>
  <si>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</si>
  <si>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</si>
  <si>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</si>
  <si>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</si>
  <si>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</si>
  <si>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</si>
  <si>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</si>
  <si>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</si>
  <si>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</si>
  <si>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</si>
  <si>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</si>
  <si>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</si>
  <si>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</si>
  <si>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</si>
  <si>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</si>
  <si>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</si>
  <si>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</si>
  <si>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</si>
  <si>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</si>
  <si>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</si>
  <si>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</si>
  <si>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</si>
  <si>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</si>
  <si>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</si>
  <si>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</si>
  <si>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</si>
  <si>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</si>
  <si>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</si>
  <si>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</si>
  <si>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</si>
  <si>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</si>
  <si>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</si>
  <si>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</si>
  <si>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</si>
  <si>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</si>
  <si>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</si>
  <si>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</si>
  <si>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</si>
  <si>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</si>
  <si>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</si>
  <si>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</si>
  <si>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</si>
  <si>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</si>
  <si>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</si>
  <si>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</si>
  <si>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</si>
  <si>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</si>
  <si>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</si>
  <si>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</si>
  <si>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</si>
  <si>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</si>
  <si>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</si>
  <si>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</si>
  <si>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</si>
  <si>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</si>
  <si>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</si>
  <si>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</si>
  <si>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</si>
  <si>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</si>
  <si>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</si>
  <si>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</si>
  <si>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</si>
  <si>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</si>
  <si>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</si>
  <si>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</si>
  <si>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</si>
  <si>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</si>
  <si>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</si>
  <si>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</si>
  <si>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</si>
  <si>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</si>
  <si>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</si>
  <si>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</si>
  <si>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</si>
  <si>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</si>
  <si>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</si>
  <si>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</si>
  <si>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</si>
  <si>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</si>
  <si>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</si>
  <si>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</si>
  <si>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</si>
  <si>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</si>
  <si>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</si>
  <si>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</si>
  <si>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</si>
  <si>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</si>
  <si>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</si>
  <si>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</si>
  <si>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</si>
  <si>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</si>
  <si>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</si>
  <si>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</si>
  <si>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</si>
  <si>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</si>
  <si>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</si>
  <si>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</si>
  <si>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</si>
  <si>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</si>
  <si>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</si>
  <si>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</si>
  <si>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</si>
  <si>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</si>
  <si>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</si>
  <si>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</si>
  <si>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</si>
  <si>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</si>
  <si>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</si>
  <si>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</si>
  <si>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</si>
  <si>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</si>
  <si>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</si>
  <si>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</si>
  <si>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</si>
  <si>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</si>
  <si>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</si>
  <si>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</si>
  <si>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</si>
  <si>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</si>
  <si>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</si>
  <si>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</si>
  <si>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</si>
  <si>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</si>
  <si>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</si>
  <si>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</si>
  <si>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</si>
  <si>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</si>
  <si>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</si>
  <si>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</si>
  <si>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</si>
  <si>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</si>
  <si>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</si>
  <si>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</si>
  <si>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</si>
  <si>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</si>
  <si>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</si>
  <si>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</si>
  <si>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</si>
  <si>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</si>
  <si>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</si>
  <si>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</si>
  <si>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</si>
  <si>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</si>
  <si>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</si>
  <si>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</si>
  <si>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</si>
  <si>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</si>
  <si>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</si>
  <si>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</si>
  <si>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</si>
  <si>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</si>
  <si>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</si>
  <si>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</si>
  <si>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</si>
  <si>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</si>
  <si>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</si>
  <si>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</si>
  <si>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</si>
  <si>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</si>
  <si>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</si>
  <si>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</si>
  <si>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</si>
  <si>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</si>
  <si>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</si>
  <si>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</si>
  <si>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</si>
  <si>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</si>
  <si>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</si>
  <si>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</si>
  <si>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</si>
  <si>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</si>
  <si>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</si>
  <si>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</si>
  <si>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</si>
  <si>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</si>
  <si>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</si>
  <si>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</si>
  <si>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</si>
  <si>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</si>
  <si>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</si>
  <si>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</si>
  <si>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</si>
  <si>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</si>
  <si>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</si>
  <si>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</si>
  <si>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</si>
  <si>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</si>
  <si>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</si>
  <si>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</si>
  <si>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</si>
  <si>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</si>
  <si>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</si>
  <si>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</si>
  <si>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</si>
  <si>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</si>
  <si>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</si>
  <si>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</si>
  <si>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</si>
  <si>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</si>
  <si>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</si>
  <si>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</si>
  <si>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</si>
  <si>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</si>
  <si>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</si>
  <si>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</si>
  <si>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</si>
  <si>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</si>
  <si>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</si>
  <si>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</si>
  <si>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</si>
  <si>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</si>
  <si>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</si>
  <si>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</si>
  <si>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</si>
  <si>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</si>
  <si>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</si>
  <si>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</si>
  <si>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</si>
  <si>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</si>
  <si>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</si>
  <si>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</si>
  <si>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</si>
  <si>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</si>
  <si>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</si>
  <si>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</si>
  <si>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</si>
  <si>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</si>
  <si>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</si>
  <si>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</si>
  <si>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</si>
  <si>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</si>
  <si>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</si>
  <si>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</si>
  <si>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</si>
  <si>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</si>
  <si>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</si>
  <si>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</si>
  <si>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</si>
  <si>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</si>
  <si>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</si>
  <si>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</si>
  <si>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</si>
  <si>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</si>
  <si>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</si>
  <si>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</si>
  <si>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</si>
  <si>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</si>
  <si>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</si>
  <si>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</si>
  <si>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</si>
  <si>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</si>
  <si>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</si>
  <si>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</si>
  <si>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</si>
  <si>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</si>
  <si>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</si>
  <si>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</si>
  <si>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</si>
  <si>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</si>
  <si>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</si>
  <si>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</si>
  <si>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</si>
  <si>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</si>
  <si>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</si>
  <si>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</si>
  <si>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</si>
  <si>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</si>
  <si>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</si>
  <si>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</si>
  <si>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</si>
  <si>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</si>
  <si>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</si>
  <si>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</si>
  <si>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</si>
  <si>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</si>
  <si>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</si>
  <si>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</si>
  <si>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</si>
  <si>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</si>
  <si>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</si>
  <si>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</si>
  <si>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</si>
  <si>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</si>
  <si>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</si>
  <si>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</si>
  <si>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</si>
  <si>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</si>
  <si>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</si>
  <si>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</si>
  <si>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</si>
  <si>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</si>
  <si>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</si>
  <si>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</si>
  <si>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</si>
  <si>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</si>
  <si>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</si>
  <si>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</si>
  <si>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</si>
  <si>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</si>
  <si>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</si>
  <si>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</si>
  <si>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</si>
  <si>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</si>
  <si>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</si>
  <si>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</si>
  <si>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</si>
  <si>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</si>
  <si>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</si>
  <si>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</si>
  <si>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</si>
  <si>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</si>
  <si>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</si>
  <si>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</si>
  <si>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</si>
  <si>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</si>
  <si>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</si>
  <si>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</si>
  <si>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</si>
  <si>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</si>
  <si>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</si>
  <si>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</si>
  <si>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</si>
  <si>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</si>
  <si>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</si>
  <si>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</si>
  <si>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</si>
  <si>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</si>
  <si>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</si>
  <si>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</si>
  <si>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</si>
  <si>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</si>
  <si>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</si>
  <si>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</si>
  <si>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</si>
  <si>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</si>
  <si>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</si>
  <si>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</si>
  <si>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</si>
  <si>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</si>
  <si>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</si>
  <si>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</si>
  <si>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</si>
  <si>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</si>
  <si>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</si>
  <si>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</si>
  <si>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</si>
  <si>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</si>
  <si>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</si>
  <si>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</si>
  <si>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</si>
  <si>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</si>
  <si>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</si>
  <si>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</si>
  <si>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</si>
  <si>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</si>
  <si>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</si>
  <si>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</si>
  <si>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</si>
  <si>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</si>
  <si>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</si>
  <si>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</si>
  <si>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</si>
  <si>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</si>
  <si>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</si>
  <si>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</si>
  <si>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</si>
  <si>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</si>
  <si>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</si>
  <si>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</si>
  <si>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</si>
  <si>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</si>
  <si>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</si>
  <si>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</si>
  <si>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</si>
  <si>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</si>
  <si>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</si>
  <si>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</si>
  <si>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</si>
  <si>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</si>
  <si>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</si>
  <si>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</si>
  <si>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</si>
  <si>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</si>
  <si>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</si>
  <si>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</si>
  <si>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</si>
  <si>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</si>
  <si>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</si>
  <si>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</si>
  <si>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</si>
  <si>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</si>
  <si>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</si>
  <si>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</si>
  <si>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</si>
  <si>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</si>
  <si>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</si>
  <si>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</si>
  <si>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</si>
  <si>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</si>
  <si>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</si>
  <si>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</si>
  <si>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</si>
  <si>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</si>
  <si>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</si>
  <si>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</si>
  <si>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</si>
  <si>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</si>
  <si>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</si>
  <si>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</si>
  <si>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</si>
  <si>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</si>
  <si>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</si>
  <si>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</si>
  <si>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</si>
  <si>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</si>
  <si>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</si>
  <si>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</si>
  <si>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</si>
  <si>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</si>
  <si>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</si>
  <si>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</si>
  <si>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</si>
  <si>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</si>
  <si>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</si>
  <si>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</si>
  <si>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</si>
  <si>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</si>
  <si>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</si>
  <si>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</si>
  <si>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</si>
  <si>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</si>
  <si>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</si>
  <si>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</si>
  <si>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</si>
  <si>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</si>
  <si>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</si>
  <si>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</si>
  <si>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</si>
  <si>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</si>
  <si>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</si>
  <si>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</si>
  <si>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</si>
  <si>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</si>
  <si>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</si>
  <si>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</si>
  <si>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</si>
  <si>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</si>
  <si>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</si>
  <si>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</si>
  <si>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</si>
  <si>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</si>
  <si>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</si>
  <si>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</si>
  <si>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</si>
  <si>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</si>
  <si>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</si>
  <si>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</si>
  <si>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</si>
  <si>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</si>
  <si>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</si>
  <si>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</si>
  <si>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</si>
  <si>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</si>
  <si>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</si>
  <si>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</si>
  <si>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</si>
  <si>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</si>
  <si>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</si>
  <si>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</si>
  <si>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</si>
  <si>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</si>
  <si>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</si>
  <si>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</si>
  <si>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</si>
  <si>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</si>
  <si>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</si>
  <si>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</si>
  <si>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</si>
  <si>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</si>
  <si>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</si>
  <si>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</si>
  <si>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</si>
  <si>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</si>
  <si>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</si>
  <si>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</si>
  <si>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</si>
  <si>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</si>
  <si>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</si>
  <si>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</si>
  <si>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</si>
  <si>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</si>
  <si>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</si>
  <si>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</si>
  <si>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</si>
  <si>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</si>
  <si>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</si>
  <si>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</si>
  <si>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</si>
  <si>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</si>
  <si>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</si>
  <si>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</si>
  <si>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</si>
  <si>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</si>
  <si>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</si>
  <si>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</si>
  <si>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</si>
  <si>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</si>
  <si>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</si>
  <si>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</si>
  <si>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</si>
  <si>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</si>
  <si>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</si>
  <si>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</si>
  <si>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</si>
  <si>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</si>
  <si>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</si>
  <si>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</si>
  <si>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</si>
  <si>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</si>
  <si>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</si>
  <si>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</si>
  <si>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</si>
  <si>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</si>
  <si>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</si>
  <si>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</si>
  <si>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</si>
  <si>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</si>
  <si>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</si>
  <si>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</si>
  <si>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</si>
  <si>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</si>
  <si>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</si>
  <si>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</si>
  <si>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</si>
  <si>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</si>
  <si>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</si>
  <si>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</si>
  <si>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</si>
  <si>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</si>
  <si>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</si>
  <si>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</si>
  <si>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</si>
  <si>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</si>
  <si>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</si>
  <si>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</si>
  <si>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</si>
  <si>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</si>
  <si>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</si>
  <si>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</si>
  <si>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</si>
  <si>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</si>
  <si>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</si>
  <si>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</si>
  <si>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</si>
  <si>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</si>
  <si>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</si>
  <si>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</si>
  <si>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</si>
  <si>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</si>
  <si>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</si>
  <si>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</si>
  <si>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</si>
  <si>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</si>
  <si>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</si>
  <si>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</si>
  <si>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</si>
  <si>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</si>
  <si>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</si>
  <si>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</si>
  <si>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</si>
  <si>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</si>
  <si>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</si>
  <si>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</si>
  <si>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</si>
  <si>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</si>
  <si>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</si>
  <si>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</si>
  <si>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</si>
  <si>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</si>
  <si>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</si>
  <si>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</si>
  <si>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</si>
  <si>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</si>
  <si>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</si>
  <si>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</si>
  <si>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</si>
  <si>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</si>
  <si>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</si>
  <si>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</si>
  <si>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</si>
  <si>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</si>
  <si>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</si>
  <si>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</si>
  <si>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</si>
  <si>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</si>
  <si>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</si>
  <si>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</si>
  <si>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</si>
  <si>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</si>
  <si>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</si>
  <si>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</si>
  <si>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</si>
  <si>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</si>
  <si>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</si>
  <si>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</si>
  <si>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</si>
  <si>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</si>
  <si>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</si>
  <si>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</si>
  <si>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</si>
  <si>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</si>
  <si>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</si>
  <si>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</si>
  <si>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</si>
  <si>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</si>
  <si>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</si>
  <si>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</si>
  <si>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</si>
  <si>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</si>
  <si>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</si>
  <si>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</si>
  <si>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</si>
  <si>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</si>
  <si>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</si>
  <si>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</si>
  <si>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</si>
  <si>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</si>
  <si>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</si>
  <si>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</si>
  <si>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</si>
  <si>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</si>
  <si>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</si>
  <si>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</si>
  <si>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</si>
  <si>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</si>
  <si>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</si>
  <si>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</si>
  <si>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</si>
  <si>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</si>
  <si>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</si>
  <si>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</si>
  <si>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</si>
  <si>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</si>
  <si>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</si>
  <si>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</si>
  <si>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</si>
  <si>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</si>
  <si>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</si>
  <si>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</si>
  <si>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</si>
  <si>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</si>
  <si>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</si>
  <si>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</si>
  <si>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</si>
  <si>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</si>
  <si>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</si>
  <si>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</si>
  <si>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</si>
  <si>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</si>
  <si>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</si>
  <si>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</si>
  <si>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</si>
  <si>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</si>
  <si>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</si>
  <si>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</si>
  <si>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</si>
  <si>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</si>
  <si>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</si>
  <si>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</si>
  <si>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</si>
  <si>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</si>
  <si>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</si>
  <si>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</si>
  <si>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</si>
  <si>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</si>
  <si>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</si>
  <si>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</si>
  <si>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</si>
  <si>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</si>
  <si>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</si>
  <si>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</si>
  <si>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</si>
  <si>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</si>
  <si>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</si>
  <si>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</si>
  <si>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</si>
  <si>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</si>
  <si>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</si>
  <si>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</si>
  <si>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</si>
  <si>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</si>
  <si>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</si>
  <si>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</si>
  <si>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</si>
  <si>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</si>
  <si>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</si>
  <si>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</si>
  <si>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</si>
  <si>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</si>
  <si>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</si>
  <si>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</si>
  <si>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</si>
  <si>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</si>
  <si>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</si>
  <si>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</si>
  <si>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</si>
  <si>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</si>
  <si>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</si>
  <si>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</si>
  <si>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</si>
  <si>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</si>
  <si>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</si>
  <si>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</si>
  <si>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</si>
  <si>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</si>
  <si>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</si>
  <si>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</si>
  <si>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</si>
  <si>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</si>
  <si>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</si>
  <si>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</si>
  <si>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</si>
  <si>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</si>
  <si>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</si>
  <si>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</si>
  <si>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</si>
  <si>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</si>
  <si>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</si>
  <si>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</si>
  <si>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</si>
  <si>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</si>
  <si>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</si>
  <si>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</si>
  <si>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</si>
  <si>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</si>
  <si>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</si>
  <si>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</si>
  <si>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</si>
  <si>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</si>
  <si>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</si>
  <si>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</si>
  <si>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</si>
  <si>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</si>
  <si>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</si>
  <si>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</si>
  <si>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</si>
  <si>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</si>
  <si>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</si>
  <si>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</si>
  <si>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</si>
  <si>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</si>
  <si>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</si>
  <si>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</si>
  <si>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</si>
  <si>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</si>
  <si>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</si>
  <si>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</si>
  <si>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</si>
  <si>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</si>
  <si>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</si>
  <si>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</si>
  <si>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</si>
  <si>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</si>
  <si>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</si>
  <si>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</si>
  <si>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</si>
  <si>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</si>
  <si>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</si>
  <si>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</si>
  <si>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</si>
  <si>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</si>
  <si>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</si>
  <si>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</si>
  <si>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</si>
  <si>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</si>
  <si>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</si>
  <si>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</si>
  <si>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</si>
  <si>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</si>
  <si>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</si>
  <si>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</si>
  <si>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</si>
  <si>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</si>
  <si>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</si>
  <si>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</si>
  <si>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</si>
  <si>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</si>
  <si>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</si>
  <si>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</si>
  <si>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</si>
  <si>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</si>
  <si>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</si>
  <si>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</si>
  <si>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</si>
  <si>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</si>
  <si>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</si>
  <si>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</si>
  <si>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</si>
  <si>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</si>
  <si>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</si>
  <si>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</si>
  <si>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</si>
  <si>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</si>
  <si>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</si>
  <si>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</si>
  <si>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</si>
  <si>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</si>
  <si>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</si>
  <si>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</si>
  <si>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</si>
  <si>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</si>
  <si>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</si>
  <si>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</si>
  <si>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</si>
  <si>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</si>
  <si>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</si>
  <si>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</si>
  <si>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</si>
  <si>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</si>
  <si>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</si>
  <si>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</si>
  <si>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</si>
  <si>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</si>
  <si>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</si>
  <si>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</si>
  <si>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</si>
  <si>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</si>
  <si>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</si>
  <si>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</si>
  <si>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</si>
  <si>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</si>
  <si>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</si>
  <si>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</si>
  <si>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</si>
  <si>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</si>
  <si>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</si>
  <si>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</si>
  <si>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</si>
  <si>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</si>
  <si>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</si>
  <si>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</si>
  <si>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</si>
  <si>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</si>
  <si>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</si>
  <si>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</si>
  <si>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</si>
  <si>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</si>
  <si>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</si>
  <si>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</si>
  <si>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</si>
  <si>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</si>
  <si>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</si>
  <si>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</si>
  <si>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</si>
  <si>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</si>
  <si>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</si>
  <si>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</si>
  <si>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</si>
  <si>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</si>
  <si>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</si>
  <si>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</si>
  <si>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</si>
  <si>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</si>
  <si>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</si>
  <si>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</si>
  <si>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</si>
  <si>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</si>
  <si>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</si>
  <si>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</si>
  <si>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</si>
  <si>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</si>
  <si>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</si>
  <si>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</si>
  <si>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</si>
  <si>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</si>
  <si>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</si>
  <si>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</si>
  <si>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</si>
  <si>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</si>
  <si>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</si>
  <si>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</si>
  <si>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</si>
  <si>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</si>
  <si>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</si>
  <si>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</si>
  <si>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</si>
  <si>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</si>
  <si>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</si>
  <si>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</si>
  <si>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</si>
  <si>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</si>
  <si>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</si>
  <si>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</si>
  <si>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</si>
  <si>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</si>
  <si>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</si>
  <si>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</si>
  <si>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</si>
  <si>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</si>
  <si>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</si>
  <si>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</si>
  <si>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</si>
  <si>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</si>
  <si>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</si>
  <si>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</si>
  <si>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</si>
  <si>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</si>
  <si>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</si>
  <si>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</si>
  <si>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</si>
  <si>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</si>
  <si>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</si>
  <si>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</si>
  <si>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</si>
  <si>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</si>
  <si>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</si>
  <si>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</si>
  <si>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</si>
  <si>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</si>
  <si>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</si>
  <si>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</si>
  <si>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</si>
  <si>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</si>
  <si>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</si>
  <si>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</si>
  <si>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</si>
  <si>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</si>
  <si>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</si>
  <si>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</si>
  <si>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</si>
  <si>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</si>
  <si>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</si>
  <si>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</si>
  <si>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</si>
  <si>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</si>
  <si>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</si>
  <si>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</si>
  <si>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</si>
  <si>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</si>
  <si>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</si>
  <si>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</si>
  <si>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</si>
  <si>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</si>
  <si>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</si>
  <si>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</si>
  <si>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</si>
  <si>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</si>
  <si>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</si>
  <si>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</si>
  <si>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</si>
  <si>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</si>
  <si>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</si>
  <si>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</si>
  <si>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</si>
  <si>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</si>
  <si>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</si>
  <si>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</si>
  <si>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</si>
  <si>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</si>
  <si>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</si>
  <si>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</si>
  <si>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</si>
  <si>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</si>
  <si>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</si>
  <si>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</si>
  <si>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</si>
  <si>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</si>
  <si>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</si>
  <si>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</si>
  <si>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</si>
  <si>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</si>
  <si>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</si>
  <si>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</si>
  <si>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</si>
  <si>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</si>
  <si>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</si>
  <si>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</si>
  <si>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</si>
  <si>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</si>
  <si>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</si>
  <si>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</si>
  <si>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</si>
  <si>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</si>
  <si>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</si>
  <si>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</si>
  <si>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</si>
  <si>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</si>
  <si>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</si>
  <si>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</si>
  <si>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</si>
  <si>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</si>
  <si>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</si>
  <si>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</si>
  <si>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</si>
  <si>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</si>
  <si>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</si>
  <si>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</si>
  <si>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</si>
  <si>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</si>
  <si>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</si>
  <si>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</si>
  <si>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</si>
  <si>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</si>
  <si>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</si>
  <si>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</si>
  <si>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</si>
  <si>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</si>
  <si>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</si>
  <si>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</si>
  <si>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</si>
  <si>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</si>
  <si>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</si>
  <si>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</si>
  <si>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</si>
  <si>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</si>
  <si>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</si>
  <si>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</si>
  <si>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</si>
  <si>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</si>
  <si>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</si>
  <si>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</si>
  <si>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</si>
  <si>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</si>
  <si>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</si>
  <si>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</si>
  <si>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</si>
  <si>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</si>
  <si>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</si>
  <si>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</si>
  <si>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</si>
  <si>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</si>
  <si>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</si>
  <si>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</si>
  <si>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</si>
  <si>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</si>
  <si>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</si>
  <si>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</si>
  <si>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</si>
  <si>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</si>
  <si>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</si>
  <si>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</si>
  <si>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</si>
  <si>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</si>
  <si>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</si>
  <si>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</si>
  <si>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</si>
  <si>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</si>
  <si>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</si>
  <si>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</si>
  <si>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</si>
  <si>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</si>
  <si>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</si>
  <si>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</si>
  <si>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</si>
  <si>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</si>
  <si>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</si>
  <si>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</si>
  <si>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</si>
  <si>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</si>
  <si>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</si>
  <si>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</si>
  <si>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</si>
  <si>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</si>
  <si>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</si>
  <si>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</si>
  <si>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</si>
  <si>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</si>
  <si>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</si>
  <si>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</si>
  <si>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</si>
  <si>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</si>
  <si>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</si>
  <si>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</si>
  <si>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</si>
  <si>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</si>
  <si>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</si>
  <si>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</si>
  <si>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</si>
  <si>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</si>
  <si>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</si>
  <si>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</si>
  <si>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</si>
  <si>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</si>
  <si>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</si>
  <si>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</si>
  <si>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</si>
  <si>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</si>
  <si>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</si>
  <si>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</si>
  <si>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</si>
  <si>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</si>
  <si>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</si>
  <si>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</si>
  <si>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</si>
  <si>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</si>
  <si>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</si>
  <si>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</si>
  <si>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</si>
  <si>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</si>
  <si>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</si>
  <si>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</si>
  <si>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</si>
  <si>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</si>
  <si>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</si>
  <si>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</si>
  <si>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</si>
  <si>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</si>
  <si>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</si>
  <si>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</si>
  <si>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</si>
  <si>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</si>
  <si>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</si>
  <si>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</si>
  <si>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</si>
  <si>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</si>
  <si>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</si>
  <si>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</si>
  <si>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</si>
  <si>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</si>
  <si>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</si>
  <si>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</si>
  <si>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</si>
  <si>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</si>
  <si>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</si>
  <si>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</si>
  <si>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</si>
  <si>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</si>
  <si>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</si>
  <si>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</si>
  <si>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</si>
  <si>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</si>
  <si>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</si>
  <si>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</si>
  <si>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</si>
  <si>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</si>
  <si>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</si>
  <si>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</si>
  <si>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</si>
  <si>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</si>
  <si>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</si>
  <si>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</si>
  <si>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</si>
  <si>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</si>
  <si>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</si>
  <si>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</si>
  <si>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</si>
  <si>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</si>
  <si>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</si>
  <si>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</si>
  <si>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</si>
  <si>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</si>
  <si>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</si>
  <si>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</si>
  <si>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</si>
  <si>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</si>
  <si>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</si>
  <si>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</si>
  <si>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</si>
  <si>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</si>
  <si>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</si>
  <si>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</si>
  <si>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</si>
  <si>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</si>
  <si>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</si>
  <si>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</si>
  <si>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</si>
  <si>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</si>
  <si>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</si>
  <si>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</si>
  <si>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</si>
  <si>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</si>
  <si>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</si>
  <si>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</si>
  <si>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</si>
  <si>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</si>
  <si>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</si>
  <si>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</si>
  <si>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</si>
  <si>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</si>
  <si>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</si>
  <si>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</si>
  <si>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</si>
  <si>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</si>
  <si>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</si>
  <si>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</si>
  <si>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</si>
  <si>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</si>
  <si>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</si>
  <si>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</si>
  <si>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</si>
  <si>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</si>
  <si>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</si>
  <si>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</si>
  <si>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</si>
  <si>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</si>
  <si>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</si>
  <si>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</si>
  <si>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</si>
  <si>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</si>
  <si>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</si>
  <si>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</si>
  <si>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</si>
  <si>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</si>
  <si>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</si>
  <si>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</si>
  <si>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</si>
  <si>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</si>
  <si>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</si>
  <si>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</si>
  <si>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</si>
  <si>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</si>
  <si>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</si>
  <si>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</si>
  <si>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</si>
  <si>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</si>
  <si>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</si>
  <si>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</si>
  <si>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</si>
  <si>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</si>
  <si>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</si>
  <si>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</si>
  <si>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</si>
  <si>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</si>
  <si>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</si>
  <si>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</si>
  <si>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</si>
  <si>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</si>
  <si>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</si>
  <si>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</si>
  <si>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</si>
  <si>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</si>
  <si>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</si>
  <si>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</si>
  <si>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</si>
  <si>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</si>
  <si>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</si>
  <si>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</si>
  <si>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</si>
  <si>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</si>
  <si>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</si>
  <si>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</si>
  <si>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</si>
  <si>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</si>
  <si>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</si>
  <si>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</si>
  <si>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</si>
  <si>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</si>
  <si>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</si>
  <si>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</si>
  <si>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</si>
  <si>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</si>
  <si>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</si>
  <si>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</si>
  <si>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</si>
  <si>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</si>
  <si>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</si>
  <si>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</si>
  <si>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</si>
  <si>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</si>
  <si>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</si>
  <si>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</si>
  <si>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</si>
  <si>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</si>
  <si>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</si>
  <si>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</si>
  <si>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</si>
  <si>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</si>
  <si>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</si>
  <si>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</si>
  <si>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</si>
  <si>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</si>
  <si>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</si>
  <si>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</si>
  <si>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</si>
  <si>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</si>
  <si>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</si>
  <si>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</si>
  <si>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</si>
  <si>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</si>
  <si>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</si>
  <si>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</si>
  <si>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</si>
  <si>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</si>
  <si>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</si>
  <si>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</si>
  <si>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</si>
  <si>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</si>
  <si>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</si>
  <si>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</si>
  <si>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</si>
  <si>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</si>
  <si>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</si>
  <si>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</si>
  <si>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</si>
  <si>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</si>
  <si>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</si>
  <si>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</si>
  <si>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</si>
  <si>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</si>
  <si>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</si>
  <si>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</si>
  <si>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</si>
  <si>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</si>
  <si>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</si>
  <si>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</si>
  <si>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</si>
  <si>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</si>
  <si>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</si>
  <si>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</si>
  <si>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</si>
  <si>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</si>
  <si>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</si>
  <si>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</si>
  <si>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</si>
  <si>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</si>
  <si>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</si>
  <si>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</si>
  <si>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</si>
  <si>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</si>
  <si>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</si>
  <si>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</si>
  <si>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</si>
  <si>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</si>
  <si>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</si>
  <si>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</si>
  <si>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</si>
  <si>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</si>
  <si>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</si>
  <si>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</si>
  <si>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</si>
  <si>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</si>
  <si>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</si>
  <si>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</si>
  <si>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</si>
  <si>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</si>
  <si>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</si>
  <si>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</si>
  <si>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</si>
  <si>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</si>
  <si>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</si>
  <si>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</si>
  <si>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</si>
  <si>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</si>
  <si>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</si>
  <si>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</si>
  <si>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</si>
  <si>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</si>
  <si>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</si>
  <si>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</si>
  <si>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</si>
  <si>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</si>
  <si>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</si>
  <si>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</si>
  <si>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</si>
  <si>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</si>
  <si>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</si>
  <si>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</si>
  <si>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</si>
  <si>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</si>
  <si>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</si>
  <si>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</si>
  <si>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</si>
  <si>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</si>
  <si>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</si>
  <si>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</si>
  <si>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</si>
  <si>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</si>
  <si>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</si>
  <si>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</si>
  <si>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</si>
  <si>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</si>
  <si>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</si>
  <si>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</si>
  <si>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</si>
  <si>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</si>
  <si>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</si>
  <si>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</si>
  <si>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</si>
  <si>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</si>
  <si>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</si>
  <si>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</si>
  <si>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</si>
  <si>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</si>
  <si>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</si>
  <si>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</si>
  <si>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</si>
  <si>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</si>
  <si>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</si>
  <si>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</si>
  <si>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</si>
  <si>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</si>
  <si>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</si>
  <si>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</si>
  <si>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</si>
  <si>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</si>
  <si>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</si>
  <si>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</si>
  <si>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</si>
  <si>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</si>
  <si>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</si>
  <si>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</si>
  <si>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</si>
  <si>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</si>
  <si>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</si>
  <si>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</si>
  <si>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</si>
  <si>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</si>
  <si>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</si>
  <si>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</si>
  <si>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</si>
  <si>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</si>
  <si>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</si>
  <si>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</si>
  <si>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</si>
  <si>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</si>
  <si>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</si>
  <si>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</si>
  <si>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</si>
  <si>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</si>
  <si>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</si>
  <si>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</si>
  <si>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</si>
  <si>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</si>
  <si>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</si>
  <si>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</si>
  <si>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</si>
  <si>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</si>
  <si>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</si>
  <si>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</si>
  <si>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</si>
  <si>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</si>
  <si>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</si>
  <si>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</si>
  <si>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</si>
  <si>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</si>
  <si>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</si>
  <si>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</si>
  <si>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</si>
  <si>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</si>
  <si>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</si>
  <si>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</si>
  <si>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</si>
  <si>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</si>
  <si>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</si>
  <si>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</si>
  <si>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</si>
  <si>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</si>
  <si>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</si>
  <si>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</si>
  <si>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</si>
  <si>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</si>
  <si>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</si>
  <si>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</si>
  <si>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</si>
  <si>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</si>
  <si>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</si>
  <si>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</si>
  <si>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</si>
  <si>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</si>
  <si>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</si>
  <si>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</si>
  <si>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</si>
  <si>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</si>
  <si>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</si>
  <si>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</si>
  <si>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</si>
  <si>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</si>
  <si>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</si>
  <si>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</si>
  <si>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</si>
  <si>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</si>
  <si>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</si>
  <si>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</si>
  <si>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</si>
  <si>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</si>
  <si>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</si>
  <si>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</si>
  <si>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</si>
  <si>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</si>
  <si>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</si>
  <si>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</si>
  <si>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</si>
  <si>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</si>
  <si>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</si>
  <si>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</si>
  <si>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</si>
  <si>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</si>
  <si>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</si>
  <si>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</si>
  <si>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</si>
  <si>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</si>
  <si>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</si>
  <si>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</si>
  <si>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</si>
  <si>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</si>
  <si>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</si>
  <si>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</si>
  <si>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</si>
  <si>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</si>
  <si>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</si>
  <si>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</si>
  <si>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</si>
  <si>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</si>
  <si>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</si>
  <si>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</si>
  <si>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</si>
  <si>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</si>
  <si>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</si>
  <si>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</si>
  <si>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</si>
  <si>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</si>
  <si>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</si>
  <si>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</si>
  <si>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</si>
  <si>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</si>
  <si>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</si>
  <si>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</si>
  <si>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</si>
  <si>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</si>
  <si>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</si>
  <si>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</si>
  <si>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</si>
  <si>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</si>
  <si>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</si>
  <si>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</si>
  <si>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</si>
  <si>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</si>
  <si>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</si>
  <si>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</si>
  <si>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</si>
  <si>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</si>
  <si>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</si>
  <si>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</si>
  <si>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</si>
  <si>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</si>
  <si>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</si>
  <si>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</si>
  <si>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</si>
  <si>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</si>
  <si>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</si>
  <si>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</si>
  <si>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</si>
  <si>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</si>
  <si>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</si>
  <si>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</si>
  <si>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</si>
  <si>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</si>
  <si>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</si>
  <si>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</si>
  <si>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</si>
  <si>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</si>
  <si>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</si>
  <si>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</si>
  <si>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</si>
  <si>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</si>
  <si>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</si>
  <si>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</si>
  <si>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</si>
  <si>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</si>
  <si>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</si>
  <si>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</si>
  <si>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</si>
  <si>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</si>
  <si>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</si>
  <si>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</si>
  <si>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</si>
  <si>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</si>
  <si>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</si>
  <si>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</si>
  <si>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</si>
  <si>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</si>
  <si>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</si>
  <si>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</si>
  <si>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</si>
  <si>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</si>
  <si>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</si>
  <si>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</si>
  <si>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</si>
  <si>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</si>
  <si>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</si>
  <si>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</si>
  <si>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</si>
  <si>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</si>
  <si>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</si>
  <si>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</si>
  <si>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</si>
  <si>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</si>
  <si>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</si>
  <si>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</si>
  <si>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</si>
  <si>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</si>
  <si>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</si>
  <si>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</si>
  <si>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</si>
  <si>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</si>
  <si>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</si>
  <si>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</si>
  <si>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</si>
  <si>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</si>
  <si>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</si>
  <si>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</si>
  <si>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</si>
  <si>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</si>
  <si>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</si>
  <si>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</si>
  <si>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</si>
  <si>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</si>
  <si>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</si>
  <si>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</si>
  <si>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</si>
  <si>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</si>
  <si>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</si>
  <si>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</si>
  <si>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</si>
  <si>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</si>
  <si>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</si>
  <si>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</si>
  <si>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</si>
  <si>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</si>
  <si>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</si>
  <si>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</si>
  <si>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</si>
  <si>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</si>
  <si>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</si>
  <si>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</si>
  <si>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</si>
  <si>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</si>
  <si>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</si>
  <si>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</si>
  <si>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</si>
  <si>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</si>
  <si>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</si>
  <si>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</si>
  <si>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</si>
  <si>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</si>
  <si>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</si>
  <si>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</si>
  <si>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</si>
  <si>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</si>
  <si>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</si>
  <si>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</si>
  <si>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</si>
  <si>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</si>
  <si>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</si>
  <si>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</si>
  <si>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</si>
  <si>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</si>
  <si>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</si>
  <si>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</si>
  <si>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</si>
  <si>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</si>
  <si>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</si>
  <si>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</si>
  <si>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</si>
  <si>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</si>
  <si>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</si>
  <si>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</si>
  <si>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</si>
  <si>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</si>
  <si>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</si>
  <si>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</si>
  <si>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</si>
  <si>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</si>
  <si>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</si>
  <si>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</si>
  <si>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</si>
  <si>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</si>
  <si>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</si>
  <si>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</si>
  <si>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</si>
  <si>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</si>
  <si>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</si>
  <si>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</si>
  <si>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</si>
  <si>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</si>
  <si>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</si>
  <si>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</si>
  <si>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</si>
  <si>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</si>
  <si>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</si>
  <si>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</si>
  <si>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</si>
  <si>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</si>
  <si>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</si>
  <si>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</si>
  <si>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</si>
  <si>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</si>
  <si>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</si>
  <si>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</si>
  <si>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</si>
  <si>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</si>
  <si>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</si>
  <si>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</si>
  <si>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</si>
  <si>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</si>
  <si>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</si>
  <si>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</si>
  <si>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</si>
  <si>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</si>
  <si>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</si>
  <si>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</si>
  <si>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</si>
  <si>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</si>
  <si>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</si>
  <si>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</si>
  <si>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</si>
  <si>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</si>
  <si>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</si>
  <si>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</si>
  <si>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</si>
  <si>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</si>
  <si>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</si>
  <si>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</si>
  <si>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</si>
  <si>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</si>
  <si>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</si>
  <si>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</si>
  <si>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</si>
  <si>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</si>
  <si>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</si>
  <si>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</si>
  <si>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</si>
  <si>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</si>
  <si>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</si>
  <si>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</si>
  <si>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</si>
  <si>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</si>
  <si>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</si>
  <si>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</si>
  <si>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</si>
  <si>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</si>
  <si>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</si>
  <si>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</si>
  <si>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</si>
  <si>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</si>
  <si>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</si>
  <si>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</si>
  <si>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</si>
  <si>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</si>
  <si>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</si>
  <si>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</si>
  <si>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</si>
  <si>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</si>
  <si>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</si>
  <si>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</si>
  <si>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</si>
  <si>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</si>
  <si>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</si>
  <si>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</si>
  <si>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</si>
  <si>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</si>
  <si>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</si>
  <si>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</si>
  <si>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</si>
  <si>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</si>
  <si>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</si>
  <si>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</si>
  <si>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</si>
  <si>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</si>
  <si>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</si>
  <si>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</si>
  <si>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</si>
  <si>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</si>
  <si>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</si>
  <si>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</si>
  <si>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</si>
  <si>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</si>
  <si>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</si>
  <si>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</si>
  <si>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</si>
  <si>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</si>
  <si>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</si>
  <si>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</si>
  <si>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</si>
  <si>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</si>
  <si>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</si>
  <si>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</si>
  <si>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</si>
  <si>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</si>
  <si>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</si>
  <si>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</si>
  <si>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</si>
  <si>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</si>
  <si>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</si>
  <si>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</si>
  <si>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</si>
  <si>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</si>
  <si>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</si>
  <si>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</si>
  <si>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</si>
  <si>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</si>
  <si>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</si>
  <si>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</si>
  <si>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</si>
  <si>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</si>
  <si>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</si>
  <si>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</si>
  <si>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</si>
  <si>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</si>
  <si>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</si>
  <si>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</si>
  <si>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</si>
  <si>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</si>
  <si>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</si>
  <si>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</si>
  <si>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</si>
  <si>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</si>
  <si>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</si>
  <si>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</si>
  <si>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</si>
  <si>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</si>
  <si>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</si>
  <si>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</si>
  <si>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</si>
  <si>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</si>
  <si>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</si>
  <si>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</si>
  <si>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</si>
  <si>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</si>
  <si>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</si>
  <si>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</si>
  <si>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</si>
  <si>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</si>
  <si>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</si>
  <si>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</si>
  <si>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</si>
  <si>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</si>
  <si>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</si>
  <si>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</si>
  <si>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</si>
  <si>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</si>
  <si>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</si>
  <si>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</si>
  <si>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</si>
  <si>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</si>
  <si>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</si>
  <si>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</si>
  <si>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</si>
  <si>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</si>
  <si>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</si>
  <si>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</si>
  <si>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</si>
  <si>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</si>
  <si>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</si>
  <si>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</si>
  <si>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</si>
  <si>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</si>
  <si>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</si>
  <si>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</si>
  <si>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</si>
  <si>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</si>
  <si>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</si>
  <si>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</si>
  <si>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</si>
  <si>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</si>
  <si>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</si>
  <si>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</si>
  <si>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</si>
  <si>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</si>
  <si>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</si>
  <si>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</si>
  <si>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</si>
  <si>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</si>
  <si>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</si>
  <si>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</si>
  <si>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</si>
  <si>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</si>
  <si>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</si>
  <si>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</si>
  <si>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</si>
  <si>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</si>
  <si>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</si>
  <si>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</si>
  <si>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</si>
  <si>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</si>
  <si>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</si>
  <si>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</si>
  <si>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</si>
  <si>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</si>
  <si>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</si>
  <si>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</si>
  <si>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</si>
  <si>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</si>
  <si>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</si>
  <si>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</si>
  <si>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</si>
  <si>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</si>
  <si>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</si>
  <si>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</si>
  <si>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</si>
  <si>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</si>
  <si>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</si>
  <si>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</si>
  <si>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</si>
  <si>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</si>
  <si>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</si>
  <si>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</si>
  <si>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</si>
  <si>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</si>
  <si>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</si>
  <si>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</si>
  <si>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</si>
  <si>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</si>
  <si>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</si>
  <si>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</si>
  <si>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</si>
  <si>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</si>
  <si>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</si>
  <si>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</si>
  <si>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</si>
  <si>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</si>
  <si>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</si>
  <si>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</si>
  <si>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</si>
  <si>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</si>
  <si>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</si>
  <si>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</si>
  <si>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</si>
  <si>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</si>
  <si>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</si>
  <si>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</si>
  <si>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</si>
  <si>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</si>
  <si>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</si>
  <si>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</si>
  <si>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</si>
  <si>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</si>
  <si>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</si>
  <si>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</si>
  <si>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</si>
  <si>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</si>
  <si>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</si>
  <si>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</si>
  <si>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</si>
  <si>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</si>
  <si>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</si>
  <si>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</si>
  <si>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</si>
  <si>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</si>
  <si>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</si>
  <si>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</si>
  <si>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</si>
  <si>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</si>
  <si>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</si>
  <si>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</si>
  <si>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</si>
  <si>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</si>
  <si>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</si>
  <si>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</si>
  <si>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</si>
  <si>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</si>
  <si>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</si>
  <si>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</si>
  <si>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</si>
  <si>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</si>
  <si>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</si>
  <si>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</si>
  <si>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</si>
  <si>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</si>
  <si>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</si>
  <si>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</si>
  <si>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</si>
  <si>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</si>
  <si>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</si>
  <si>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</si>
  <si>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</si>
  <si>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</si>
  <si>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</si>
  <si>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</si>
  <si>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</si>
  <si>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</si>
  <si>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</si>
  <si>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</si>
  <si>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</si>
  <si>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</si>
  <si>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</si>
  <si>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</si>
  <si>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</si>
  <si>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</si>
  <si>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</si>
  <si>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</si>
  <si>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</si>
  <si>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</si>
  <si>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</si>
  <si>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</si>
  <si>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</si>
  <si>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</si>
  <si>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</si>
  <si>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</si>
  <si>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</si>
  <si>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</si>
  <si>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</si>
  <si>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</si>
  <si>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</si>
  <si>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</si>
  <si>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</si>
  <si>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</si>
  <si>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</si>
  <si>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</si>
  <si>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</si>
  <si>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</si>
  <si>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</si>
  <si>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</si>
  <si>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</si>
  <si>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</si>
  <si>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</si>
  <si>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</si>
  <si>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</si>
  <si>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</si>
  <si>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</si>
  <si>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</si>
  <si>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</si>
  <si>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</si>
  <si>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</si>
  <si>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</si>
  <si>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</si>
  <si>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</si>
  <si>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</si>
  <si>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</si>
  <si>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</si>
  <si>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</si>
  <si>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</si>
  <si>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</si>
  <si>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</si>
  <si>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</si>
  <si>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</si>
  <si>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</si>
  <si>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</si>
  <si>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</si>
  <si>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</si>
  <si>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</si>
  <si>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</si>
  <si>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</si>
  <si>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</si>
  <si>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</si>
  <si>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</si>
  <si>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</si>
  <si>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</si>
  <si>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</si>
  <si>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</si>
  <si>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</si>
  <si>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</si>
  <si>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</si>
  <si>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</si>
  <si>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</si>
  <si>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</si>
  <si>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</si>
  <si>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</si>
  <si>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</si>
  <si>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</si>
  <si>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</si>
  <si>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</si>
  <si>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</si>
  <si>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</si>
  <si>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</si>
  <si>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</si>
  <si>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</si>
  <si>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</si>
  <si>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</si>
  <si>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</si>
  <si>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</si>
  <si>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</si>
  <si>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</si>
  <si>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</si>
  <si>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</si>
  <si>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</si>
  <si>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</si>
  <si>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</si>
  <si>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</si>
  <si>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</si>
  <si>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</si>
  <si>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</si>
  <si>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</si>
  <si>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</si>
  <si>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</si>
  <si>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</si>
  <si>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</si>
  <si>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</si>
  <si>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</si>
  <si>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</si>
  <si>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</si>
  <si>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</si>
  <si>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</si>
  <si>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</si>
  <si>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</si>
  <si>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</si>
  <si>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</si>
  <si>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</si>
  <si>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</si>
  <si>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</si>
  <si>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</si>
  <si>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</si>
  <si>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</si>
  <si>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</si>
  <si>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</si>
  <si>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</si>
  <si>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</si>
  <si>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</si>
  <si>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</si>
  <si>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</si>
  <si>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</si>
  <si>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</si>
  <si>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</si>
  <si>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</si>
  <si>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</si>
  <si>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</si>
  <si>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</si>
  <si>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</si>
  <si>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</si>
  <si>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</si>
  <si>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</si>
  <si>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</si>
  <si>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</si>
  <si>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</si>
  <si>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</si>
  <si>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</si>
  <si>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</si>
  <si>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</si>
  <si>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</si>
  <si>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</si>
  <si>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</si>
  <si>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</si>
  <si>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</si>
  <si>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</si>
  <si>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</si>
  <si>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</si>
  <si>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</si>
  <si>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</si>
  <si>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</si>
  <si>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</si>
  <si>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</si>
  <si>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</si>
  <si>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</si>
  <si>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</si>
  <si>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</si>
  <si>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</si>
  <si>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</si>
  <si>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</si>
  <si>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</si>
  <si>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</si>
  <si>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</si>
  <si>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</si>
  <si>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</si>
  <si>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</si>
  <si>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</si>
  <si>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</si>
  <si>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</si>
  <si>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</si>
  <si>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</si>
  <si>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</si>
  <si>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</si>
  <si>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</si>
  <si>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</si>
  <si>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</si>
  <si>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</si>
  <si>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</si>
  <si>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</si>
  <si>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</si>
  <si>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</si>
  <si>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</si>
  <si>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</si>
  <si>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</si>
  <si>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</si>
  <si>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</si>
  <si>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</si>
  <si>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</si>
  <si>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</si>
  <si>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</si>
  <si>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</si>
  <si>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</si>
  <si>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</si>
  <si>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</si>
  <si>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</si>
  <si>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</si>
  <si>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</si>
  <si>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</si>
  <si>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</si>
  <si>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</si>
  <si>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</si>
  <si>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</si>
  <si>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</si>
  <si>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</si>
  <si>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</si>
  <si>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</si>
  <si>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</si>
  <si>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</si>
  <si>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</si>
  <si>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</si>
  <si>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</si>
  <si>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</si>
  <si>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</si>
  <si>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</si>
  <si>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</si>
  <si>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</si>
  <si>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</si>
  <si>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</si>
  <si>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</si>
  <si>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</si>
  <si>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</si>
  <si>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</si>
  <si>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</si>
  <si>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</si>
  <si>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</si>
  <si>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</si>
  <si>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</si>
  <si>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</si>
  <si>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</si>
  <si>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</si>
  <si>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</si>
  <si>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</si>
  <si>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</si>
  <si>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</si>
  <si>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</si>
  <si>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</si>
  <si>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</si>
  <si>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</si>
  <si>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</si>
  <si>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</si>
  <si>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</si>
  <si>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</si>
  <si>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</si>
  <si>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</si>
  <si>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</si>
  <si>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</si>
  <si>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</si>
  <si>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</si>
  <si>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</si>
  <si>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</si>
  <si>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</si>
  <si>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</si>
  <si>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</si>
  <si>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</si>
  <si>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</si>
  <si>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</si>
  <si>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</si>
  <si>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</si>
  <si>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</si>
  <si>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</si>
  <si>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</si>
  <si>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</si>
  <si>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</si>
  <si>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</si>
  <si>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</si>
  <si>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</si>
  <si>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</si>
  <si>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</si>
  <si>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</si>
  <si>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</si>
  <si>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</si>
  <si>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</si>
  <si>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</si>
  <si>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</si>
  <si>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</si>
  <si>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</si>
  <si>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</si>
  <si>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</si>
  <si>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</si>
  <si>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</si>
  <si>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</si>
  <si>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</si>
  <si>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</si>
  <si>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</si>
  <si>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</si>
  <si>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</si>
  <si>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</si>
  <si>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</si>
  <si>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</si>
  <si>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</si>
  <si>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</si>
  <si>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</si>
  <si>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</si>
  <si>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</si>
  <si>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</si>
  <si>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</si>
  <si>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</si>
  <si>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</si>
  <si>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</si>
  <si>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</si>
  <si>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</si>
  <si>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</si>
  <si>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</si>
  <si>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</si>
  <si>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</si>
  <si>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</si>
  <si>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</si>
  <si>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</si>
  <si>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</si>
  <si>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</si>
  <si>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</si>
  <si>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</si>
  <si>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</si>
  <si>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</si>
  <si>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</si>
  <si>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</si>
  <si>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</si>
  <si>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</si>
  <si>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</si>
  <si>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</si>
  <si>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</si>
  <si>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</si>
  <si>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</si>
  <si>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</si>
  <si>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</si>
  <si>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</si>
  <si>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</si>
  <si>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</si>
  <si>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</si>
  <si>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</si>
  <si>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</si>
  <si>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</si>
  <si>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</si>
  <si>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</si>
  <si>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</si>
  <si>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</si>
  <si>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</si>
  <si>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</si>
  <si>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</si>
  <si>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</si>
  <si>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</si>
  <si>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</si>
  <si>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</si>
  <si>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</si>
  <si>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</si>
  <si>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</si>
  <si>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</si>
  <si>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</si>
  <si>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</si>
  <si>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</si>
  <si>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</si>
  <si>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</si>
  <si>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</si>
  <si>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</si>
  <si>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</si>
  <si>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</si>
  <si>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</si>
  <si>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</si>
  <si>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</si>
  <si>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</si>
  <si>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</si>
  <si>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</si>
  <si>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</si>
  <si>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</si>
  <si>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</si>
  <si>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</si>
  <si>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</si>
  <si>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</si>
  <si>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</si>
  <si>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</si>
  <si>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</si>
  <si>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</si>
  <si>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</si>
  <si>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</si>
  <si>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</si>
  <si>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</si>
  <si>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</si>
  <si>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</si>
  <si>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</si>
  <si>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</si>
  <si>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</si>
  <si>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</si>
  <si>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</si>
  <si>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</si>
  <si>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</si>
  <si>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</si>
  <si>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</si>
  <si>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</si>
  <si>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</si>
  <si>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</si>
  <si>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</si>
  <si>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</si>
  <si>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</si>
  <si>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</si>
  <si>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</si>
  <si>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</si>
  <si>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</si>
  <si>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</si>
  <si>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</si>
  <si>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</si>
  <si>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</si>
  <si>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</si>
  <si>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</si>
  <si>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</si>
  <si>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</si>
  <si>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</si>
  <si>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</si>
  <si>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</si>
  <si>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</si>
  <si>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</si>
  <si>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</si>
  <si>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</si>
  <si>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</si>
  <si>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</si>
  <si>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</si>
  <si>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</si>
  <si>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</si>
  <si>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</si>
  <si>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</si>
  <si>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</si>
  <si>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</si>
  <si>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</si>
  <si>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</si>
  <si>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</si>
  <si>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</si>
  <si>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</si>
  <si>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</si>
  <si>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</si>
  <si>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</si>
  <si>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</si>
  <si>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</si>
  <si>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</si>
  <si>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</si>
  <si>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</si>
  <si>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</si>
  <si>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</si>
  <si>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</si>
  <si>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</si>
  <si>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</si>
  <si>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</si>
  <si>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</si>
  <si>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</si>
  <si>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</si>
  <si>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</si>
  <si>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</si>
  <si>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</si>
  <si>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</si>
  <si>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</si>
  <si>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</si>
  <si>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</si>
  <si>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</si>
  <si>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</si>
  <si>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</si>
  <si>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</si>
  <si>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</si>
  <si>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</si>
  <si>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</si>
  <si>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</si>
  <si>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</si>
  <si>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</si>
  <si>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</si>
  <si>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</si>
  <si>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</si>
  <si>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</si>
  <si>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</si>
  <si>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</si>
  <si>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</si>
  <si>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</si>
  <si>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</si>
  <si>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</si>
  <si>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</si>
  <si>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</si>
  <si>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</si>
  <si>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</si>
  <si>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</si>
  <si>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</si>
  <si>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</si>
  <si>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</si>
  <si>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</si>
  <si>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</si>
  <si>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</si>
  <si>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</si>
  <si>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</si>
  <si>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</si>
  <si>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</si>
  <si>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</si>
  <si>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</si>
  <si>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</si>
  <si>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</si>
  <si>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</si>
  <si>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</si>
  <si>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</si>
  <si>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</si>
  <si>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</si>
  <si>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</si>
  <si>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</si>
  <si>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</si>
  <si>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</si>
  <si>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</si>
  <si>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</si>
  <si>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</si>
  <si>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</si>
  <si>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</si>
  <si>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</si>
  <si>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</si>
  <si>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</si>
  <si>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</si>
  <si>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</si>
  <si>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</si>
  <si>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</si>
  <si>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</si>
  <si>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</si>
  <si>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</si>
  <si>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</si>
  <si>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</si>
  <si>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</si>
  <si>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</si>
  <si>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</si>
  <si>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</si>
  <si>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</si>
  <si>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</si>
  <si>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</si>
  <si>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</si>
  <si>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</si>
  <si>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</si>
  <si>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</si>
  <si>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</si>
  <si>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</si>
  <si>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</si>
  <si>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</si>
  <si>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</si>
  <si>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</si>
  <si>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</si>
  <si>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</si>
  <si>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</si>
  <si>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</si>
  <si>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</si>
  <si>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</si>
  <si>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</si>
  <si>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</si>
  <si>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</si>
  <si>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</si>
  <si>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</si>
  <si>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</si>
  <si>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</si>
  <si>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</si>
  <si>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</si>
  <si>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</si>
  <si>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</si>
  <si>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</si>
  <si>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</si>
  <si>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</si>
  <si>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</si>
  <si>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</si>
  <si>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</si>
  <si>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</si>
  <si>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</si>
  <si>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</si>
  <si>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</si>
  <si>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</si>
  <si>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</si>
  <si>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</si>
  <si>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</si>
  <si>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</si>
  <si>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</si>
  <si>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</si>
  <si>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</si>
  <si>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</si>
  <si>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</si>
  <si>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</si>
  <si>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</si>
  <si>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</si>
  <si>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</si>
  <si>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</si>
  <si>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</si>
  <si>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</si>
  <si>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</si>
  <si>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</si>
  <si>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</si>
  <si>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</si>
  <si>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</si>
  <si>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</si>
  <si>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</si>
  <si>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</si>
  <si>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</si>
  <si>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</si>
  <si>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</si>
  <si>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</si>
  <si>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</si>
  <si>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</si>
  <si>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</si>
  <si>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</si>
  <si>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</si>
  <si>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</si>
  <si>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</si>
  <si>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</si>
  <si>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</si>
  <si>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</si>
  <si>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</si>
  <si>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</si>
  <si>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</si>
  <si>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</si>
  <si>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</si>
  <si>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</si>
  <si>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</si>
  <si>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</si>
  <si>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</si>
  <si>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</si>
  <si>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</si>
  <si>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</si>
  <si>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</si>
  <si>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</si>
  <si>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</si>
  <si>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</si>
  <si>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</si>
  <si>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</si>
  <si>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</si>
  <si>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</si>
  <si>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</si>
  <si>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</si>
  <si>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</si>
  <si>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</si>
  <si>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</si>
  <si>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</si>
  <si>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</si>
  <si>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</si>
  <si>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</si>
  <si>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</si>
  <si>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</si>
  <si>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</si>
  <si>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</si>
  <si>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</si>
  <si>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</si>
  <si>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</si>
  <si>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</si>
  <si>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</si>
  <si>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</si>
  <si>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</si>
  <si>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</si>
  <si>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</si>
  <si>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</si>
  <si>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</si>
  <si>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</si>
  <si>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</si>
  <si>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</si>
  <si>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</si>
  <si>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</si>
  <si>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</si>
  <si>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</si>
  <si>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</si>
  <si>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</si>
  <si>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</si>
  <si>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</si>
  <si>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</si>
  <si>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</si>
  <si>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</si>
  <si>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</si>
  <si>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</si>
  <si>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</si>
  <si>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</si>
  <si>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</si>
  <si>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</si>
  <si>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</si>
  <si>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</si>
  <si>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</si>
  <si>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</si>
  <si>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</si>
  <si>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</si>
  <si>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</si>
  <si>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</si>
  <si>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</si>
  <si>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</si>
  <si>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</si>
  <si>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</si>
  <si>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</si>
  <si>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</si>
  <si>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</si>
  <si>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</si>
  <si>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</si>
  <si>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</si>
  <si>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</si>
  <si>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</si>
  <si>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</si>
  <si>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</si>
  <si>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</si>
  <si>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</si>
  <si>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</si>
  <si>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</si>
  <si>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</si>
  <si>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</si>
  <si>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</si>
  <si>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</si>
  <si>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</si>
  <si>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</si>
  <si>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</si>
  <si>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</si>
  <si>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</si>
  <si>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</si>
  <si>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</si>
  <si>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</si>
  <si>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</si>
  <si>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</si>
  <si>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</si>
  <si>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</si>
  <si>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</si>
  <si>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</si>
  <si>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</si>
  <si>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</si>
  <si>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</si>
  <si>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</si>
  <si>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</si>
  <si>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</si>
  <si>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</si>
  <si>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</si>
  <si>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</si>
  <si>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</si>
  <si>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</si>
  <si>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</si>
  <si>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</si>
  <si>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</si>
  <si>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</si>
  <si>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</si>
  <si>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</si>
  <si>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</si>
  <si>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</si>
  <si>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</si>
  <si>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</si>
  <si>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</si>
  <si>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</si>
  <si>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</si>
  <si>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</si>
  <si>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</si>
  <si>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</si>
  <si>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</si>
  <si>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</si>
  <si>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</si>
  <si>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</si>
  <si>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</si>
  <si>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</si>
  <si>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</si>
  <si>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</si>
  <si>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</si>
  <si>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</si>
  <si>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</si>
  <si>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</si>
  <si>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</si>
  <si>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</si>
  <si>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</si>
  <si>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</si>
  <si>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</si>
  <si>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</si>
  <si>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</si>
  <si>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</si>
  <si>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</si>
  <si>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</si>
  <si>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</si>
  <si>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</si>
  <si>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</si>
  <si>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</si>
  <si>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</si>
  <si>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</si>
  <si>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</si>
  <si>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</si>
  <si>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</si>
  <si>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</si>
  <si>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</si>
  <si>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</si>
  <si>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</si>
  <si>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</si>
  <si>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</si>
  <si>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</si>
  <si>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</si>
  <si>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</si>
  <si>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</si>
  <si>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</si>
  <si>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</si>
  <si>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</si>
  <si>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</si>
  <si>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</si>
  <si>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</si>
  <si>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</si>
  <si>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</si>
  <si>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</si>
  <si>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</si>
  <si>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</si>
  <si>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</si>
  <si>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</si>
  <si>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</si>
  <si>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</si>
  <si>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</si>
  <si>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</si>
  <si>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</si>
  <si>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</si>
  <si>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</si>
  <si>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</si>
  <si>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</si>
  <si>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</si>
  <si>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</si>
  <si>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</si>
  <si>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</si>
  <si>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</si>
  <si>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</si>
  <si>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</si>
  <si>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</si>
  <si>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</si>
  <si>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</si>
  <si>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</si>
  <si>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</si>
  <si>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</si>
  <si>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</si>
  <si>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</si>
  <si>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</si>
  <si>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</si>
  <si>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</si>
  <si>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</si>
  <si>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</si>
  <si>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</si>
  <si>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</si>
  <si>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</si>
  <si>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</si>
  <si>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</si>
  <si>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</si>
  <si>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</si>
  <si>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</si>
  <si>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</si>
  <si>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</si>
  <si>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</si>
  <si>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</si>
  <si>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</si>
  <si>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</si>
  <si>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</si>
  <si>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</si>
  <si>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</si>
  <si>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</si>
  <si>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</si>
  <si>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</si>
  <si>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</si>
  <si>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</si>
  <si>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</si>
  <si>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</si>
  <si>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</si>
  <si>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</si>
  <si>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</si>
  <si>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</si>
  <si>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</si>
  <si>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</si>
  <si>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</si>
  <si>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</si>
  <si>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</si>
  <si>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</si>
  <si>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</si>
  <si>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</si>
  <si>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</si>
  <si>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</si>
  <si>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</si>
  <si>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</si>
  <si>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</si>
  <si>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</si>
  <si>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</si>
  <si>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</si>
  <si>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</si>
  <si>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</si>
  <si>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</si>
  <si>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</si>
  <si>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</si>
  <si>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</si>
  <si>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</si>
  <si>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</si>
  <si>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</si>
  <si>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</si>
  <si>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</si>
  <si>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</si>
  <si>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</si>
  <si>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</si>
  <si>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</si>
  <si>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</si>
  <si>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</si>
  <si>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</si>
  <si>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</si>
  <si>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</si>
  <si>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</si>
  <si>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</si>
  <si>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</si>
  <si>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</si>
  <si>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</si>
  <si>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</si>
  <si>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</si>
  <si>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</si>
  <si>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</si>
  <si>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</si>
  <si>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</si>
  <si>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</si>
  <si>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</si>
  <si>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</si>
  <si>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</si>
  <si>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</si>
  <si>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</si>
  <si>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</si>
  <si>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</si>
  <si>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</si>
  <si>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</si>
  <si>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</si>
  <si>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</si>
  <si>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</si>
  <si>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</si>
  <si>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</si>
  <si>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</si>
  <si>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</si>
  <si>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</si>
  <si>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</si>
  <si>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</si>
  <si>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</si>
  <si>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</si>
  <si>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</si>
  <si>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</si>
  <si>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</si>
  <si>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</si>
  <si>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</si>
  <si>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</si>
  <si>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</si>
  <si>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</si>
  <si>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</si>
  <si>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</si>
  <si>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</si>
  <si>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</si>
  <si>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</si>
  <si>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</si>
  <si>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</si>
  <si>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</si>
  <si>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</si>
  <si>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</si>
  <si>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</si>
  <si>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</si>
  <si>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</si>
  <si>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</si>
  <si>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</si>
  <si>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</si>
  <si>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</si>
  <si>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</si>
  <si>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</si>
  <si>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</si>
  <si>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</si>
  <si>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</si>
  <si>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</si>
  <si>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</si>
  <si>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</si>
  <si>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</si>
  <si>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</si>
  <si>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</si>
  <si>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</si>
  <si>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</si>
  <si>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</si>
  <si>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</si>
  <si>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</si>
  <si>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</si>
  <si>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</si>
  <si>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</si>
  <si>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</si>
  <si>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</si>
  <si>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</si>
  <si>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</si>
  <si>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</si>
  <si>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</si>
  <si>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</si>
  <si>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</si>
  <si>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</si>
  <si>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</si>
  <si>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</si>
  <si>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</si>
  <si>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</si>
  <si>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</si>
  <si>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</si>
  <si>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</si>
  <si>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</si>
  <si>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</si>
  <si>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</si>
  <si>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</si>
  <si>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</si>
  <si>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</si>
  <si>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</si>
  <si>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</si>
  <si>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</si>
  <si>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</si>
  <si>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</si>
  <si>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</si>
  <si>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</si>
  <si>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</si>
  <si>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</si>
  <si>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</si>
  <si>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</si>
  <si>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</si>
  <si>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</si>
  <si>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</si>
  <si>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</si>
  <si>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</si>
  <si>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</si>
  <si>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</si>
  <si>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</si>
  <si>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</si>
  <si>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</si>
  <si>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</si>
  <si>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</si>
  <si>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</si>
  <si>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</si>
  <si>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</si>
  <si>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</si>
  <si>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</si>
  <si>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</si>
  <si>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</si>
  <si>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</si>
  <si>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</si>
  <si>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</si>
  <si>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</si>
  <si>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</si>
  <si>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</si>
  <si>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</si>
  <si>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</si>
  <si>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</si>
  <si>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</si>
  <si>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</si>
  <si>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</si>
  <si>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</si>
  <si>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</si>
  <si>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</si>
  <si>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</si>
  <si>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</si>
  <si>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</si>
  <si>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</si>
  <si>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</si>
  <si>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</si>
  <si>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</si>
  <si>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</si>
  <si>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</si>
  <si>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</si>
  <si>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</si>
  <si>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</si>
  <si>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</si>
  <si>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</si>
  <si>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</si>
  <si>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</si>
  <si>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</si>
  <si>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</si>
  <si>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</si>
  <si>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</si>
  <si>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</si>
  <si>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</si>
  <si>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</si>
  <si>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</si>
  <si>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</si>
  <si>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</si>
  <si>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</si>
  <si>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</si>
  <si>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</si>
  <si>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</si>
  <si>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</si>
  <si>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</si>
  <si>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</si>
  <si>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</si>
  <si>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</si>
  <si>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</si>
  <si>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</si>
  <si>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</si>
  <si>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</si>
  <si>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</si>
  <si>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</si>
  <si>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</si>
  <si>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</si>
  <si>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</si>
  <si>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</si>
  <si>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</si>
  <si>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</si>
  <si>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</si>
  <si>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</si>
  <si>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</si>
  <si>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</si>
  <si>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</si>
  <si>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</si>
  <si>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</si>
  <si>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</si>
  <si>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</si>
  <si>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</si>
  <si>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</si>
  <si>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</si>
  <si>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</si>
  <si>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</si>
  <si>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</si>
  <si>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</si>
  <si>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</si>
  <si>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</si>
  <si>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</si>
  <si>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</si>
  <si>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</si>
  <si>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</si>
  <si>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</si>
  <si>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</si>
  <si>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</si>
  <si>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</si>
  <si>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</si>
  <si>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</si>
  <si>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</si>
  <si>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</si>
  <si>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</si>
  <si>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</si>
  <si>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</si>
  <si>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</si>
  <si>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</si>
  <si>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</si>
  <si>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</si>
  <si>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</si>
  <si>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</si>
  <si>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</si>
  <si>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</si>
  <si>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</si>
  <si>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</si>
  <si>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</si>
  <si>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</si>
  <si>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</si>
  <si>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</si>
  <si>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</si>
  <si>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</si>
  <si>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</si>
  <si>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</si>
  <si>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</si>
  <si>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</si>
  <si>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</si>
  <si>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</si>
  <si>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</si>
  <si>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</si>
  <si>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</si>
  <si>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</si>
  <si>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</si>
  <si>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</si>
  <si>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</si>
  <si>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</si>
  <si>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</si>
  <si>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</si>
  <si>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</si>
  <si>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</si>
  <si>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</si>
  <si>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</si>
  <si>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</si>
  <si>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</si>
  <si>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</si>
  <si>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</si>
  <si>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</si>
  <si>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</si>
  <si>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</si>
  <si>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</si>
  <si>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</si>
  <si>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</si>
  <si>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</si>
  <si>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</si>
  <si>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</si>
  <si>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</si>
  <si>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</si>
  <si>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</si>
  <si>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</si>
  <si>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</si>
  <si>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</si>
  <si>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</si>
  <si>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</si>
  <si>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</si>
  <si>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</si>
  <si>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</si>
  <si>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</si>
  <si>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</si>
  <si>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</si>
  <si>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</si>
  <si>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</si>
  <si>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</si>
  <si>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</si>
  <si>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</si>
  <si>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</si>
  <si>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</si>
  <si>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</si>
  <si>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</si>
  <si>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</si>
  <si>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</si>
  <si>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</si>
  <si>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</si>
  <si>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</si>
  <si>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</si>
  <si>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</si>
  <si>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</si>
  <si>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</si>
  <si>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</si>
  <si>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</si>
  <si>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</si>
  <si>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</si>
  <si>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</si>
  <si>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</si>
  <si>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</si>
  <si>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</si>
  <si>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</si>
  <si>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</si>
  <si>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</si>
  <si>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</si>
  <si>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</si>
  <si>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</si>
  <si>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</si>
  <si>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</si>
  <si>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</si>
  <si>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</si>
  <si>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</si>
  <si>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</si>
  <si>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</si>
  <si>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</si>
  <si>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</si>
  <si>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</si>
  <si>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</si>
  <si>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</si>
  <si>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</si>
  <si>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</si>
  <si>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</si>
  <si>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</si>
  <si>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</si>
  <si>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</si>
  <si>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</si>
  <si>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</si>
  <si>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</si>
  <si>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</si>
  <si>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</si>
  <si>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</si>
  <si>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</si>
  <si>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</si>
  <si>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</si>
  <si>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</si>
  <si>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</si>
  <si>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</si>
  <si>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</si>
  <si>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</si>
  <si>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</si>
  <si>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</si>
  <si>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</si>
  <si>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</si>
  <si>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</si>
  <si>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</si>
  <si>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</si>
  <si>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</si>
  <si>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</si>
  <si>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</si>
  <si>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</si>
  <si>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</si>
  <si>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</si>
  <si>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</si>
  <si>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</si>
  <si>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</si>
  <si>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</si>
  <si>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</si>
  <si>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</si>
  <si>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</si>
  <si>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</si>
  <si>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</si>
  <si>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</si>
  <si>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</si>
  <si>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</si>
  <si>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</si>
  <si>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</si>
  <si>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</si>
  <si>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</si>
  <si>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</si>
  <si>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</si>
  <si>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</si>
  <si>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</si>
  <si>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</si>
  <si>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</si>
  <si>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</si>
  <si>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</si>
  <si>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</si>
  <si>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</si>
  <si>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</si>
  <si>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</si>
  <si>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</si>
  <si>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</si>
  <si>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</si>
  <si>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</si>
  <si>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</si>
  <si>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</si>
  <si>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</si>
  <si>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</si>
  <si>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</si>
  <si>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</si>
  <si>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</si>
  <si>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</si>
  <si>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</si>
  <si>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</si>
  <si>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</si>
  <si>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</si>
  <si>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</si>
  <si>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</si>
  <si>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</si>
  <si>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</si>
  <si>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</si>
  <si>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</si>
  <si>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</si>
  <si>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</si>
  <si>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</si>
  <si>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</si>
  <si>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</si>
  <si>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</si>
  <si>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</si>
  <si>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</si>
  <si>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</si>
  <si>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</si>
  <si>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</si>
  <si>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</si>
  <si>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</si>
  <si>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</si>
  <si>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</si>
  <si>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</si>
  <si>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</si>
  <si>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</si>
  <si>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</si>
  <si>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</si>
  <si>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</si>
  <si>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</si>
  <si>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</si>
  <si>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</si>
  <si>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</si>
  <si>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</si>
  <si>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</si>
  <si>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</si>
  <si>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</si>
  <si>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</si>
  <si>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</si>
  <si>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</si>
  <si>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</si>
  <si>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</si>
  <si>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</si>
  <si>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</si>
  <si>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</si>
  <si>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</si>
  <si>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</si>
  <si>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</si>
  <si>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</si>
  <si>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</si>
  <si>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</si>
  <si>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</si>
  <si>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</si>
  <si>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</si>
  <si>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</si>
  <si>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</si>
  <si>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</si>
  <si>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</si>
  <si>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</si>
  <si>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</si>
  <si>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</si>
  <si>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</si>
  <si>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</si>
  <si>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</si>
  <si>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</si>
  <si>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</si>
  <si>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</si>
  <si>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</si>
  <si>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</si>
  <si>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</si>
  <si>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</si>
  <si>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</si>
  <si>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</si>
  <si>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</si>
  <si>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</si>
  <si>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</si>
  <si>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</si>
  <si>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</si>
  <si>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</si>
  <si>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</si>
  <si>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</si>
  <si>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</si>
  <si>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</si>
  <si>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</si>
  <si>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</si>
  <si>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</si>
  <si>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</si>
  <si>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</si>
  <si>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</si>
  <si>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</si>
  <si>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</si>
  <si>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</si>
  <si>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</si>
  <si>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</si>
  <si>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</si>
  <si>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</si>
  <si>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</si>
  <si>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</si>
  <si>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</si>
  <si>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</si>
  <si>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</si>
  <si>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</si>
  <si>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</si>
  <si>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</si>
  <si>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</si>
  <si>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</si>
  <si>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</si>
  <si>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</si>
  <si>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</si>
  <si>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</si>
  <si>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</si>
  <si>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</si>
  <si>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</si>
  <si>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</si>
  <si>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</si>
  <si>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</si>
  <si>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</si>
  <si>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</si>
  <si>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</si>
  <si>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</si>
  <si>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</si>
  <si>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</si>
  <si>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</si>
  <si>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</si>
  <si>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</si>
  <si>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</si>
  <si>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</si>
  <si>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</si>
  <si>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</si>
  <si>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</si>
  <si>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</si>
  <si>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</si>
  <si>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</si>
  <si>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</si>
  <si>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</si>
  <si>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</si>
  <si>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</si>
  <si>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</si>
  <si>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</si>
  <si>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</si>
  <si>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</si>
  <si>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</si>
  <si>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</si>
  <si>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</si>
  <si>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</si>
  <si>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</si>
  <si>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</si>
  <si>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</si>
  <si>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</si>
  <si>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</si>
  <si>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</si>
  <si>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</si>
  <si>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</si>
  <si>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</si>
  <si>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</si>
  <si>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</si>
  <si>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</si>
  <si>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</si>
  <si>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</si>
  <si>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</si>
  <si>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</si>
  <si>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</si>
  <si>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</si>
  <si>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</si>
  <si>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</si>
  <si>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</si>
  <si>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</si>
  <si>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</si>
  <si>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</si>
  <si>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</si>
  <si>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</si>
  <si>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</si>
  <si>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</si>
  <si>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</si>
  <si>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</si>
  <si>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</si>
  <si>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</si>
  <si>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</si>
  <si>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</si>
  <si>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</si>
  <si>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</si>
  <si>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</si>
  <si>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</si>
  <si>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</si>
  <si>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</si>
  <si>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</si>
  <si>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</si>
  <si>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</si>
  <si>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</si>
  <si>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</si>
  <si>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</si>
  <si>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</si>
  <si>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</si>
  <si>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</si>
  <si>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</si>
  <si>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</si>
  <si>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</si>
  <si>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</si>
  <si>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</si>
  <si>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</si>
  <si>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</si>
  <si>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</si>
  <si>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</si>
  <si>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</si>
  <si>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</si>
  <si>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</si>
  <si>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</si>
  <si>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</si>
  <si>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</si>
  <si>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</si>
  <si>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</si>
  <si>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</si>
  <si>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</si>
  <si>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</si>
  <si>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</si>
  <si>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</si>
  <si>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</si>
  <si>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</si>
  <si>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</si>
  <si>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</si>
  <si>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</si>
  <si>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</si>
  <si>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</si>
  <si>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</si>
  <si>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</si>
  <si>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</si>
  <si>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</si>
  <si>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</si>
  <si>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</si>
  <si>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</si>
  <si>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</si>
  <si>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</si>
  <si>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</si>
  <si>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</si>
  <si>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</si>
  <si>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</si>
  <si>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</si>
  <si>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</si>
  <si>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</si>
  <si>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</si>
  <si>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</si>
  <si>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</si>
  <si>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</si>
  <si>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</si>
  <si>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</si>
  <si>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</si>
  <si>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</si>
  <si>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</si>
  <si>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</si>
  <si>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</si>
  <si>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</si>
  <si>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</si>
  <si>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</si>
  <si>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</si>
  <si>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</si>
  <si>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</si>
  <si>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</si>
  <si>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</si>
  <si>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</si>
  <si>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</si>
  <si>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</si>
  <si>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</si>
  <si>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</si>
  <si>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</si>
  <si>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</si>
  <si>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</si>
  <si>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</si>
  <si>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</si>
  <si>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</si>
  <si>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</si>
  <si>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</si>
  <si>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</si>
  <si>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</si>
  <si>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</si>
  <si>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</si>
  <si>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</si>
  <si>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</si>
  <si>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</si>
  <si>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</si>
  <si>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</si>
  <si>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</si>
  <si>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</si>
  <si>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</si>
  <si>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</si>
  <si>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</si>
  <si>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</si>
  <si>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</si>
  <si>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</si>
  <si>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</si>
  <si>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</si>
  <si>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</si>
  <si>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</si>
  <si>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</si>
  <si>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</si>
  <si>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</si>
  <si>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</si>
  <si>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</si>
  <si>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</si>
  <si>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</si>
  <si>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</si>
  <si>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</si>
  <si>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</si>
  <si>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</si>
  <si>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</si>
  <si>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</si>
  <si>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</si>
  <si>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</si>
  <si>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</si>
  <si>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</si>
  <si>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</si>
  <si>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</si>
  <si>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</si>
  <si>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</si>
  <si>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</si>
  <si>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</si>
  <si>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</si>
  <si>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</si>
  <si>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</si>
  <si>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</si>
  <si>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</si>
  <si>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</si>
  <si>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</si>
  <si>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</si>
  <si>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</si>
  <si>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</si>
  <si>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</si>
  <si>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</si>
  <si>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</si>
  <si>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</si>
  <si>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</si>
  <si>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</si>
  <si>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</si>
  <si>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</si>
  <si>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</si>
  <si>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</si>
  <si>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</si>
  <si>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</si>
  <si>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</si>
  <si>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</si>
  <si>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</si>
  <si>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</si>
  <si>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</si>
  <si>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</si>
  <si>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</si>
  <si>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</si>
  <si>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</si>
  <si>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</si>
  <si>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</si>
  <si>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</si>
  <si>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</si>
  <si>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</si>
  <si>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</si>
  <si>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</si>
  <si>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</si>
  <si>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</si>
  <si>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</si>
  <si>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</si>
  <si>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</si>
  <si>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</si>
  <si>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</si>
  <si>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</si>
  <si>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</si>
  <si>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</si>
  <si>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</si>
  <si>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</si>
  <si>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</si>
  <si>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</si>
  <si>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</si>
  <si>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</si>
  <si>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</si>
  <si>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</si>
  <si>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</si>
  <si>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</si>
  <si>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</si>
  <si>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</si>
  <si>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</si>
  <si>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</si>
  <si>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</si>
  <si>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</si>
  <si>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</si>
  <si>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</si>
  <si>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</si>
  <si>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</si>
  <si>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</si>
  <si>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</si>
  <si>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</si>
  <si>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</si>
  <si>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</si>
  <si>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</si>
  <si>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</si>
  <si>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</si>
  <si>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</si>
  <si>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</si>
  <si>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</si>
  <si>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</si>
  <si>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</si>
  <si>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</si>
  <si>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</si>
  <si>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</si>
  <si>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</si>
  <si>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</si>
  <si>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</si>
  <si>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</si>
  <si>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</si>
  <si>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</si>
  <si>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</si>
  <si>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</si>
  <si>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</si>
  <si>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</si>
  <si>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</si>
  <si>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</si>
  <si>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</si>
  <si>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</si>
  <si>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</si>
  <si>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</si>
  <si>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</si>
  <si>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</si>
  <si>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</si>
  <si>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</si>
  <si>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</si>
  <si>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</si>
  <si>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</si>
  <si>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</si>
  <si>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</si>
  <si>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</si>
  <si>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</si>
  <si>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</si>
  <si>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</si>
  <si>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</si>
  <si>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</si>
  <si>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</si>
  <si>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</si>
  <si>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</si>
  <si>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</si>
  <si>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</si>
  <si>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</si>
  <si>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</si>
  <si>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</si>
  <si>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</si>
  <si>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</si>
  <si>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</si>
  <si>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</si>
  <si>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</si>
  <si>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</si>
  <si>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</si>
  <si>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</si>
  <si>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</si>
  <si>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</si>
  <si>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</si>
  <si>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</si>
  <si>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</si>
  <si>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</si>
  <si>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</si>
  <si>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</si>
  <si>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</si>
  <si>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</si>
  <si>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</si>
  <si>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</si>
  <si>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</si>
  <si>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</si>
  <si>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</si>
  <si>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</si>
  <si>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</si>
  <si>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</si>
  <si>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</si>
  <si>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</si>
  <si>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</si>
  <si>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</si>
  <si>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</si>
  <si>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</si>
  <si>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</si>
  <si>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</si>
  <si>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</si>
  <si>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</si>
  <si>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</si>
  <si>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</si>
  <si>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</si>
  <si>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</si>
  <si>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</si>
  <si>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</si>
  <si>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</si>
  <si>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</si>
  <si>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</si>
  <si>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</si>
  <si>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</si>
  <si>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</si>
  <si>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</si>
  <si>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</si>
  <si>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</si>
  <si>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</si>
  <si>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</si>
  <si>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</si>
  <si>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</si>
  <si>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</si>
  <si>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</si>
  <si>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</si>
  <si>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</si>
  <si>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</si>
  <si>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</si>
  <si>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</si>
  <si>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</si>
  <si>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</si>
  <si>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</si>
  <si>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</si>
  <si>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</si>
  <si>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</si>
  <si>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</si>
  <si>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</si>
  <si>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</si>
  <si>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</si>
  <si>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</si>
  <si>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</si>
  <si>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</si>
  <si>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</si>
  <si>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</si>
  <si>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</si>
  <si>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</si>
  <si>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</si>
  <si>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</si>
  <si>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</si>
  <si>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</si>
  <si>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</si>
  <si>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</si>
  <si>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</si>
  <si>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</si>
  <si>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</si>
  <si>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</si>
  <si>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</si>
  <si>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</si>
  <si>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</si>
  <si>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</si>
  <si>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</si>
  <si>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</si>
  <si>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</si>
  <si>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</si>
  <si>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</si>
  <si>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</si>
  <si>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</si>
  <si>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</si>
  <si>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</si>
  <si>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</si>
  <si>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</si>
  <si>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</si>
  <si>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</si>
  <si>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</si>
  <si>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</si>
  <si>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</si>
  <si>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</si>
  <si>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</si>
  <si>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</si>
  <si>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</si>
  <si>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</si>
  <si>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</si>
  <si>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</si>
  <si>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</si>
  <si>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</si>
  <si>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</si>
  <si>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</si>
  <si>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</si>
  <si>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</si>
  <si>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</si>
  <si>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</si>
  <si>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</si>
  <si>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</si>
  <si>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</si>
  <si>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</si>
  <si>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</si>
  <si>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</si>
  <si>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</si>
  <si>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</si>
  <si>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</si>
  <si>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</si>
  <si>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</si>
  <si>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</si>
  <si>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</si>
  <si>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</si>
  <si>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</si>
  <si>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</si>
  <si>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</si>
  <si>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</si>
  <si>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</si>
  <si>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</si>
  <si>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</si>
  <si>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</si>
  <si>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</si>
  <si>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</si>
  <si>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</si>
  <si>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</si>
  <si>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</si>
  <si>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</si>
  <si>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</si>
  <si>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</si>
  <si>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</si>
  <si>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</si>
  <si>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</si>
  <si>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</si>
  <si>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</si>
  <si>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</si>
  <si>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</si>
  <si>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</si>
  <si>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</si>
  <si>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</si>
  <si>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</si>
  <si>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</si>
  <si>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</si>
  <si>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</si>
  <si>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</si>
  <si>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</si>
  <si>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</si>
  <si>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</si>
  <si>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</si>
  <si>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</si>
  <si>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</si>
  <si>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</si>
  <si>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</si>
  <si>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</si>
  <si>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</si>
  <si>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</si>
  <si>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</si>
  <si>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</si>
  <si>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</si>
  <si>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</si>
  <si>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</si>
  <si>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</si>
  <si>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</si>
  <si>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</si>
  <si>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</si>
  <si>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</si>
  <si>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</si>
  <si>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</si>
  <si>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</si>
  <si>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</si>
  <si>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</si>
  <si>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</si>
  <si>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</si>
  <si>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</si>
  <si>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</si>
  <si>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</si>
  <si>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</si>
  <si>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</si>
  <si>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</si>
  <si>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</si>
  <si>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</si>
  <si>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</si>
  <si>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</si>
  <si>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</si>
  <si>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</si>
  <si>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</si>
  <si>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</si>
  <si>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</si>
  <si>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</si>
  <si>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</si>
  <si>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</si>
  <si>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</si>
  <si>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</si>
  <si>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</si>
  <si>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</si>
  <si>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</si>
  <si>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</si>
  <si>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</si>
  <si>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</si>
  <si>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</si>
  <si>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</si>
  <si>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</si>
  <si>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</si>
  <si>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</si>
  <si>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</si>
  <si>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</si>
  <si>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</si>
  <si>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</si>
  <si>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</si>
  <si>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</si>
  <si>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</si>
  <si>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</si>
  <si>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</si>
  <si>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</si>
  <si>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</si>
  <si>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</si>
  <si>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</si>
  <si>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</si>
  <si>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</si>
  <si>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</si>
  <si>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</si>
  <si>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</si>
  <si>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</si>
  <si>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</si>
  <si>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</si>
  <si>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</si>
  <si>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</si>
  <si>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</si>
  <si>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</si>
  <si>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</si>
  <si>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</si>
  <si>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</si>
  <si>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</si>
  <si>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</si>
  <si>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</si>
  <si>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</si>
  <si>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</si>
  <si>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</si>
  <si>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</si>
  <si>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</si>
  <si>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</si>
  <si>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</si>
  <si>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</si>
  <si>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</si>
  <si>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</si>
  <si>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</si>
  <si>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</si>
  <si>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</si>
  <si>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</si>
  <si>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</si>
  <si>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</si>
  <si>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</si>
  <si>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</si>
  <si>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</si>
  <si>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</si>
  <si>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</si>
  <si>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</si>
  <si>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</si>
  <si>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</si>
  <si>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</si>
  <si>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</si>
  <si>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</si>
  <si>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</si>
  <si>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</si>
  <si>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</si>
  <si>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</si>
  <si>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</si>
  <si>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</si>
  <si>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</si>
  <si>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</si>
  <si>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</si>
  <si>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</si>
  <si>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</si>
  <si>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</si>
  <si>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</si>
  <si>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</si>
  <si>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</si>
  <si>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</si>
  <si>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</si>
  <si>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</si>
  <si>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</si>
  <si>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</si>
  <si>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</si>
  <si>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</si>
  <si>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</si>
  <si>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</si>
  <si>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</si>
  <si>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</si>
  <si>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</si>
  <si>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</si>
  <si>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</si>
  <si>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</si>
  <si>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</si>
  <si>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</si>
  <si>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</si>
  <si>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</si>
  <si>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</si>
  <si>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</si>
  <si>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</si>
  <si>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</si>
  <si>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</si>
  <si>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</si>
  <si>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</si>
  <si>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</si>
  <si>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</si>
  <si>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</si>
  <si>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</si>
  <si>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</si>
  <si>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</si>
  <si>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</si>
  <si>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</si>
  <si>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</si>
  <si>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</si>
  <si>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</si>
  <si>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</si>
  <si>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</si>
  <si>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</si>
  <si>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</si>
  <si>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</si>
  <si>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</si>
  <si>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</si>
  <si>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</si>
  <si>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</si>
  <si>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</si>
  <si>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</si>
  <si>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</si>
  <si>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</si>
  <si>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</si>
  <si>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</si>
  <si>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</si>
  <si>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</si>
  <si>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</si>
  <si>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</si>
  <si>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</si>
  <si>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</si>
  <si>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</si>
  <si>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</si>
  <si>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</si>
  <si>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</si>
  <si>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</si>
  <si>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</si>
  <si>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</si>
  <si>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</si>
  <si>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</si>
  <si>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</si>
  <si>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</si>
  <si>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</si>
  <si>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</si>
  <si>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</si>
  <si>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</si>
  <si>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</si>
  <si>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</si>
  <si>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</si>
  <si>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</si>
  <si>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</si>
  <si>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</si>
  <si>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</si>
  <si>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</si>
  <si>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</si>
  <si>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</si>
  <si>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</si>
  <si>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</si>
  <si>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</si>
  <si>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</si>
  <si>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</si>
  <si>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</si>
  <si>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</si>
  <si>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</si>
  <si>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</si>
  <si>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</si>
  <si>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</si>
  <si>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</si>
  <si>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</si>
  <si>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</si>
  <si>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</si>
  <si>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</si>
  <si>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</si>
  <si>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</si>
  <si>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</si>
  <si>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</si>
  <si>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</si>
  <si>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</si>
  <si>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</si>
  <si>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</si>
  <si>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</si>
  <si>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</si>
  <si>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</si>
  <si>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</si>
  <si>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</si>
  <si>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</si>
  <si>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</si>
  <si>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</si>
  <si>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</si>
  <si>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</si>
  <si>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</si>
  <si>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</si>
  <si>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</si>
  <si>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</si>
  <si>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</si>
  <si>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</si>
  <si>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</si>
  <si>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</si>
  <si>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</si>
  <si>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</si>
  <si>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</si>
  <si>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</si>
  <si>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</si>
  <si>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</si>
  <si>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</si>
  <si>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</si>
  <si>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</si>
  <si>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</si>
  <si>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</si>
  <si>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</si>
  <si>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</si>
  <si>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</si>
  <si>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</si>
  <si>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</si>
  <si>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</si>
  <si>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</si>
  <si>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</si>
  <si>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</si>
  <si>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</si>
  <si>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</si>
  <si>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</si>
  <si>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</si>
  <si>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</si>
  <si>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</si>
  <si>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</si>
  <si>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</si>
  <si>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</si>
  <si>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</si>
  <si>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</si>
  <si>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</si>
  <si>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</si>
  <si>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</si>
  <si>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</si>
  <si>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</si>
  <si>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</si>
  <si>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</si>
  <si>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</si>
  <si>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</si>
  <si>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</si>
  <si>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</si>
  <si>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</si>
  <si>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</si>
  <si>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</si>
  <si>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</si>
  <si>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</si>
  <si>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</si>
  <si>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</si>
  <si>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</si>
  <si>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</si>
  <si>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</si>
  <si>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</si>
  <si>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</si>
  <si>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</si>
  <si>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</si>
  <si>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</si>
  <si>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</si>
  <si>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</si>
  <si>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</si>
  <si>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</si>
  <si>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</si>
  <si>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</si>
  <si>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</si>
  <si>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</si>
  <si>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</si>
  <si>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</si>
  <si>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</si>
  <si>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</si>
  <si>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</si>
  <si>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</si>
  <si>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</si>
  <si>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</si>
  <si>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</si>
  <si>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</si>
  <si>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</si>
  <si>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</si>
  <si>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</si>
  <si>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</si>
  <si>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</si>
  <si>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</si>
  <si>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</si>
  <si>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</si>
  <si>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</si>
  <si>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</si>
  <si>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</si>
  <si>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</si>
  <si>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</si>
  <si>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</si>
  <si>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</si>
  <si>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</si>
  <si>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</si>
  <si>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</si>
  <si>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</si>
  <si>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</si>
  <si>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</si>
  <si>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</si>
  <si>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</si>
  <si>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</si>
  <si>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</si>
  <si>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</si>
  <si>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</si>
  <si>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</si>
  <si>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</si>
  <si>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</si>
  <si>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</si>
  <si>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</si>
  <si>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</si>
  <si>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</si>
  <si>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</si>
  <si>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</si>
  <si>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</si>
  <si>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</si>
  <si>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</si>
  <si>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</si>
  <si>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</si>
  <si>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</si>
  <si>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</si>
  <si>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</si>
  <si>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</si>
  <si>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</si>
  <si>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</si>
  <si>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</si>
  <si>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</si>
  <si>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</si>
  <si>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</si>
  <si>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</si>
  <si>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</si>
  <si>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</si>
  <si>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</si>
  <si>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</si>
  <si>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</si>
  <si>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</si>
  <si>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</si>
  <si>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</si>
  <si>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</si>
  <si>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</si>
  <si>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</si>
  <si>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</si>
  <si>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</si>
  <si>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</si>
  <si>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</si>
  <si>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</si>
  <si>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</si>
  <si>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</si>
  <si>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</si>
  <si>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</si>
  <si>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</si>
  <si>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</si>
  <si>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</si>
  <si>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</si>
  <si>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</si>
  <si>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</si>
  <si>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</si>
  <si>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</si>
  <si>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</si>
  <si>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</si>
  <si>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</si>
  <si>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</si>
  <si>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</si>
  <si>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</si>
  <si>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</si>
  <si>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</si>
  <si>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</si>
  <si>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</si>
  <si>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</si>
  <si>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</si>
  <si>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</si>
  <si>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</si>
  <si>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</si>
  <si>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</si>
  <si>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</si>
  <si>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</si>
  <si>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</si>
  <si>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</si>
  <si>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</si>
  <si>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</si>
  <si>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</si>
  <si>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</si>
  <si>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</si>
  <si>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</si>
  <si>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</si>
  <si>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</si>
  <si>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</si>
  <si>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</si>
  <si>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</si>
  <si>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</si>
  <si>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</si>
  <si>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</si>
  <si>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</si>
  <si>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</si>
  <si>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</si>
  <si>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</si>
  <si>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</si>
  <si>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</si>
  <si>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</si>
  <si>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</si>
  <si>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</si>
  <si>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</si>
  <si>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</si>
  <si>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</si>
  <si>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</si>
  <si>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</si>
  <si>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</si>
  <si>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</si>
  <si>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</si>
  <si>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</si>
  <si>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</si>
  <si>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</si>
  <si>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</si>
  <si>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</si>
  <si>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</si>
  <si>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</si>
  <si>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</si>
  <si>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</si>
  <si>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</si>
  <si>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</si>
  <si>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</si>
  <si>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</si>
  <si>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</si>
  <si>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</si>
  <si>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</si>
  <si>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</si>
  <si>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</si>
  <si>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</si>
  <si>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</si>
  <si>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</si>
  <si>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</si>
  <si>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</si>
  <si>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</si>
  <si>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</si>
  <si>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</si>
  <si>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</si>
  <si>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</si>
  <si>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</si>
  <si>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</si>
  <si>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</si>
  <si>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</si>
  <si>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</si>
  <si>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</si>
  <si>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</si>
  <si>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</si>
  <si>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</si>
  <si>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</si>
  <si>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</si>
  <si>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</si>
  <si>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</si>
  <si>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</si>
  <si>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</si>
  <si>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</si>
  <si>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</si>
  <si>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</si>
  <si>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</si>
  <si>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</si>
  <si>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</si>
  <si>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</si>
  <si>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</si>
  <si>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</si>
  <si>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</si>
  <si>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</si>
  <si>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</si>
  <si>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</si>
  <si>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</si>
  <si>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</si>
  <si>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</si>
  <si>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</si>
  <si>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</si>
  <si>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</si>
  <si>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</si>
  <si>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</si>
  <si>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</si>
  <si>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</si>
  <si>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</si>
  <si>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</si>
  <si>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</si>
  <si>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</si>
  <si>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</si>
  <si>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</si>
  <si>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</si>
  <si>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</si>
  <si>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</si>
  <si>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</si>
  <si>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</si>
  <si>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</si>
  <si>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</si>
  <si>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</si>
  <si>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</si>
  <si>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</si>
  <si>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</si>
  <si>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</si>
  <si>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</si>
  <si>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</si>
  <si>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</si>
  <si>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</si>
  <si>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</si>
  <si>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</si>
  <si>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</si>
  <si>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</si>
  <si>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</si>
  <si>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</si>
  <si>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</si>
  <si>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</si>
  <si>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</si>
  <si>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</si>
  <si>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</si>
  <si>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</si>
  <si>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</si>
  <si>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</si>
  <si>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</si>
  <si>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</si>
  <si>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</si>
  <si>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</si>
  <si>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</si>
  <si>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</si>
  <si>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</si>
  <si>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</si>
  <si>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</si>
  <si>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</si>
  <si>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</si>
  <si>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</si>
  <si>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</si>
  <si>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</si>
  <si>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</si>
  <si>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</si>
  <si>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</si>
  <si>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</si>
  <si>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</si>
  <si>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</si>
  <si>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</si>
  <si>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</si>
  <si>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</si>
  <si>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</si>
  <si>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</si>
  <si>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</si>
  <si>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</si>
  <si>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</si>
  <si>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</si>
  <si>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</si>
  <si>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</si>
  <si>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</si>
  <si>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</si>
  <si>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</si>
  <si>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</si>
  <si>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</si>
  <si>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</si>
  <si>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</si>
  <si>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</si>
  <si>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</si>
  <si>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</si>
  <si>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</si>
  <si>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</si>
  <si>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</si>
  <si>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</si>
  <si>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</si>
  <si>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</si>
  <si>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</si>
  <si>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</si>
  <si>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</si>
  <si>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</si>
  <si>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</si>
  <si>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</si>
  <si>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</si>
  <si>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</si>
  <si>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</si>
  <si>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</si>
  <si>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</si>
  <si>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</si>
  <si>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</si>
  <si>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</si>
  <si>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</si>
  <si>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</si>
  <si>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</si>
  <si>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</si>
  <si>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</si>
  <si>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</si>
  <si>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</si>
  <si>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</si>
  <si>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</si>
  <si>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</si>
  <si>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</si>
  <si>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</si>
  <si>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</si>
  <si>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</si>
  <si>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</si>
  <si>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</si>
  <si>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</si>
  <si>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</si>
  <si>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</si>
  <si>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</si>
  <si>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</si>
  <si>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</si>
  <si>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</si>
  <si>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</si>
  <si>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</si>
  <si>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</si>
  <si>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</si>
  <si>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</si>
  <si>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</si>
  <si>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</si>
  <si>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</si>
  <si>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</si>
  <si>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</si>
  <si>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</si>
  <si>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</si>
  <si>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</si>
  <si>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</si>
  <si>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</si>
  <si>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</si>
  <si>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</si>
  <si>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</si>
  <si>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</si>
  <si>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</si>
  <si>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</si>
  <si>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</si>
  <si>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</si>
  <si>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</si>
  <si>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</si>
  <si>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</si>
  <si>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</si>
  <si>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</si>
  <si>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</si>
  <si>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</si>
  <si>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</si>
  <si>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</si>
  <si>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</si>
  <si>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</si>
  <si>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</si>
  <si>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</si>
  <si>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</si>
  <si>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</si>
  <si>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</si>
  <si>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</si>
  <si>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</si>
  <si>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</si>
  <si>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</si>
  <si>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</si>
  <si>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</si>
  <si>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</si>
  <si>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</si>
  <si>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</si>
  <si>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</si>
  <si>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</si>
  <si>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</si>
  <si>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</si>
  <si>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</si>
  <si>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</si>
  <si>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</si>
  <si>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</si>
  <si>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</si>
  <si>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</si>
  <si>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</si>
  <si>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</si>
  <si>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</si>
  <si>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</si>
  <si>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</si>
  <si>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</si>
  <si>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</si>
  <si>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</si>
  <si>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</si>
  <si>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</si>
  <si>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</si>
  <si>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</si>
  <si>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</si>
  <si>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</si>
  <si>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</si>
  <si>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</si>
  <si>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</si>
  <si>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</si>
  <si>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</si>
  <si>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</si>
  <si>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</si>
  <si>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</si>
  <si>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</si>
  <si>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</si>
  <si>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</si>
  <si>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</si>
  <si>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</si>
  <si>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</si>
  <si>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</si>
  <si>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</si>
  <si>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</si>
  <si>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</si>
  <si>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</si>
  <si>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</si>
  <si>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</si>
  <si>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</si>
  <si>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</si>
  <si>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</si>
  <si>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</si>
  <si>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</si>
  <si>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</si>
  <si>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</si>
  <si>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</si>
  <si>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</si>
  <si>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</si>
  <si>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</si>
  <si>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</si>
  <si>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</si>
  <si>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</si>
  <si>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</si>
  <si>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</si>
  <si>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</si>
  <si>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</si>
  <si>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</si>
  <si>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</si>
  <si>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</si>
  <si>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</si>
  <si>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</si>
  <si>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</si>
  <si>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</si>
  <si>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</si>
  <si>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</si>
  <si>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</si>
  <si>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</si>
  <si>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</si>
  <si>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</si>
  <si>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</si>
  <si>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</si>
  <si>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</si>
  <si>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</si>
  <si>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</si>
  <si>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</si>
  <si>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</si>
  <si>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</si>
  <si>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</si>
  <si>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</si>
  <si>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</si>
  <si>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</si>
  <si>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</si>
  <si>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</si>
  <si>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</si>
  <si>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</si>
  <si>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</si>
  <si>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</si>
  <si>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</si>
  <si>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</si>
  <si>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</si>
  <si>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</si>
  <si>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</si>
  <si>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</si>
  <si>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</si>
  <si>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</si>
  <si>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</si>
  <si>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</si>
  <si>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</si>
  <si>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</si>
  <si>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</si>
  <si>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</si>
  <si>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</si>
  <si>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</si>
  <si>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</si>
  <si>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</si>
  <si>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</si>
  <si>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</si>
  <si>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</si>
  <si>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</si>
  <si>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</si>
  <si>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</si>
  <si>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</si>
  <si>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</si>
  <si>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</si>
  <si>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</si>
  <si>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</si>
  <si>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</si>
  <si>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</si>
  <si>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</si>
  <si>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</si>
  <si>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</si>
  <si>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</si>
  <si>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</si>
  <si>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</si>
  <si>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</si>
  <si>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</si>
  <si>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</si>
  <si>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</si>
  <si>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</si>
  <si>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</si>
  <si>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</si>
  <si>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</si>
  <si>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</si>
  <si>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</si>
  <si>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</si>
  <si>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</si>
  <si>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</si>
  <si>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</si>
  <si>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</si>
  <si>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</si>
  <si>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</si>
  <si>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</si>
  <si>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</si>
  <si>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</si>
  <si>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</si>
  <si>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</si>
  <si>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</si>
  <si>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</si>
  <si>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</si>
  <si>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</si>
  <si>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</si>
  <si>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</si>
  <si>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</si>
  <si>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</si>
  <si>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</si>
  <si>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</si>
  <si>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</si>
  <si>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</si>
  <si>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</si>
  <si>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</si>
  <si>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</si>
  <si>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</si>
  <si>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</si>
  <si>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</si>
  <si>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</si>
  <si>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</si>
  <si>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</si>
  <si>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</si>
  <si>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</si>
  <si>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</si>
  <si>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</si>
  <si>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</si>
  <si>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</si>
  <si>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</si>
  <si>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</si>
  <si>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</si>
  <si>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</si>
  <si>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</si>
  <si>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</si>
  <si>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</si>
  <si>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</si>
  <si>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</si>
  <si>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</si>
  <si>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</si>
  <si>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</si>
  <si>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</si>
  <si>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</si>
  <si>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</si>
  <si>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</si>
  <si>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</si>
  <si>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</si>
  <si>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</si>
  <si>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</si>
  <si>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</si>
  <si>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</si>
  <si>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</si>
  <si>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</si>
  <si>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</si>
  <si>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</si>
  <si>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</si>
  <si>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</si>
  <si>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</si>
  <si>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</si>
  <si>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</si>
  <si>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</si>
  <si>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</si>
  <si>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</si>
  <si>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</si>
  <si>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</si>
  <si>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</si>
  <si>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</si>
  <si>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</si>
  <si>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</si>
  <si>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</si>
  <si>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</si>
  <si>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</si>
  <si>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</si>
  <si>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</si>
  <si>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</si>
  <si>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</si>
  <si>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</si>
  <si>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</si>
  <si>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</si>
  <si>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</si>
  <si>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</si>
  <si>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</si>
  <si>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</si>
  <si>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</si>
  <si>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</si>
  <si>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</si>
  <si>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</si>
  <si>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</si>
  <si>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</si>
  <si>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</si>
  <si>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</si>
  <si>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</si>
  <si>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</si>
  <si>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</si>
  <si>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</si>
  <si>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</si>
  <si>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</si>
  <si>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</si>
  <si>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</si>
  <si>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</si>
  <si>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</si>
  <si>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</si>
  <si>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</si>
  <si>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</si>
  <si>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</si>
  <si>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</si>
  <si>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</si>
  <si>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</si>
  <si>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</si>
  <si>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</si>
  <si>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</si>
  <si>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</si>
  <si>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</si>
  <si>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</si>
  <si>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</si>
  <si>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</si>
  <si>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</si>
  <si>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</si>
  <si>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</si>
  <si>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</si>
  <si>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</si>
  <si>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</si>
  <si>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</si>
  <si>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</si>
  <si>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</si>
  <si>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</si>
  <si>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</si>
  <si>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</si>
  <si>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</si>
  <si>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</si>
  <si>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</si>
  <si>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</si>
  <si>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</si>
  <si>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</si>
  <si>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</si>
  <si>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</si>
  <si>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</si>
  <si>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</si>
  <si>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</si>
  <si>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</si>
  <si>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</si>
  <si>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</si>
  <si>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</si>
  <si>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</si>
  <si>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</si>
  <si>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</si>
  <si>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</si>
  <si>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</si>
  <si>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</si>
  <si>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</si>
  <si>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</si>
  <si>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</si>
  <si>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</si>
  <si>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</si>
  <si>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</si>
  <si>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</si>
  <si>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</si>
  <si>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</si>
  <si>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</si>
  <si>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</si>
  <si>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</si>
  <si>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</si>
  <si>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</si>
  <si>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</si>
  <si>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</si>
  <si>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</si>
  <si>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</si>
  <si>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</si>
  <si>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</si>
  <si>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</si>
  <si>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</si>
  <si>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</si>
  <si>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</si>
  <si>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</si>
  <si>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</si>
  <si>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</si>
  <si>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</si>
  <si>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</si>
  <si>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</si>
  <si>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</si>
  <si>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</si>
  <si>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</si>
  <si>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</si>
  <si>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</si>
  <si>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</si>
  <si>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</si>
  <si>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</si>
  <si>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</si>
  <si>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</si>
  <si>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</si>
  <si>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</si>
  <si>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</si>
  <si>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</si>
  <si>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</si>
  <si>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</si>
  <si>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</si>
  <si>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</si>
  <si>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</si>
  <si>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</si>
  <si>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</si>
  <si>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</si>
  <si>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</si>
  <si>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</si>
  <si>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</si>
  <si>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</si>
  <si>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</si>
  <si>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</si>
  <si>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</si>
  <si>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</si>
  <si>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</si>
  <si>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</si>
  <si>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</si>
  <si>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</si>
  <si>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</si>
  <si>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</si>
  <si>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</si>
  <si>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</si>
  <si>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</si>
  <si>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</si>
  <si>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</si>
  <si>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</si>
  <si>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</si>
  <si>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</si>
  <si>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</si>
  <si>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</si>
  <si>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</si>
  <si>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</si>
  <si>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</si>
  <si>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</si>
  <si>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</si>
  <si>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</si>
  <si>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</si>
  <si>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</si>
  <si>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</si>
  <si>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</si>
  <si>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</si>
  <si>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</si>
  <si>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</si>
  <si>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</si>
  <si>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</si>
  <si>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</si>
  <si>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</si>
  <si>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</si>
  <si>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</si>
  <si>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</si>
  <si>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</si>
  <si>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</si>
  <si>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</si>
  <si>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</si>
  <si>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</si>
  <si>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</si>
  <si>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</si>
  <si>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</si>
  <si>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</si>
  <si>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</si>
  <si>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</si>
  <si>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</si>
  <si>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</si>
  <si>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</si>
  <si>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</si>
  <si>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</si>
  <si>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</si>
  <si>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</si>
  <si>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</si>
  <si>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</si>
  <si>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</si>
  <si>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</si>
  <si>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</si>
  <si>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</si>
  <si>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</si>
  <si>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</si>
  <si>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</si>
  <si>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</si>
  <si>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</si>
  <si>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</si>
  <si>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</si>
  <si>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</si>
  <si>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</si>
  <si>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</si>
  <si>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</si>
  <si>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</si>
  <si>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</si>
  <si>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</si>
  <si>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</si>
  <si>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</si>
  <si>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</si>
  <si>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</si>
  <si>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</si>
  <si>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</si>
  <si>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</si>
  <si>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</si>
  <si>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</si>
  <si>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</si>
  <si>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</si>
  <si>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</si>
  <si>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</si>
  <si>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</si>
  <si>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</si>
  <si>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</si>
  <si>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</si>
  <si>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</si>
  <si>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</si>
  <si>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</si>
  <si>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</si>
  <si>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</si>
  <si>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</si>
  <si>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</si>
  <si>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</si>
  <si>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</si>
  <si>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</si>
  <si>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</si>
  <si>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</si>
  <si>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</si>
  <si>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</si>
  <si>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</si>
  <si>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</si>
  <si>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</si>
  <si>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</si>
  <si>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</si>
  <si>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</si>
  <si>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</si>
  <si>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</si>
  <si>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</si>
  <si>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</si>
  <si>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</si>
  <si>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</si>
  <si>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</si>
  <si>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</si>
  <si>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</si>
  <si>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</si>
  <si>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</si>
  <si>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</si>
  <si>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</si>
  <si>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</si>
  <si>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</si>
  <si>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</si>
  <si>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</si>
  <si>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</si>
  <si>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</si>
  <si>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</si>
  <si>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</si>
  <si>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</si>
  <si>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</si>
  <si>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</si>
  <si>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</si>
  <si>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</si>
  <si>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</si>
  <si>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</si>
  <si>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</si>
  <si>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</si>
  <si>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</si>
  <si>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</si>
  <si>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</si>
  <si>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</si>
  <si>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</si>
  <si>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</si>
  <si>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</si>
  <si>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</si>
  <si>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</si>
  <si>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</si>
  <si>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</si>
  <si>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</si>
  <si>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</si>
  <si>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</si>
  <si>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</si>
  <si>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</si>
  <si>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</si>
  <si>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</si>
  <si>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</si>
  <si>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</si>
  <si>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</si>
  <si>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</si>
  <si>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</si>
  <si>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</si>
  <si>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</si>
  <si>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</si>
  <si>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</si>
  <si>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</si>
  <si>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</si>
  <si>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</si>
  <si>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</si>
  <si>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</si>
  <si>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</si>
  <si>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</si>
  <si>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</si>
  <si>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</si>
  <si>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</si>
  <si>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</si>
  <si>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</si>
  <si>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</si>
  <si>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</si>
  <si>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</si>
  <si>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</si>
  <si>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</si>
  <si>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</si>
  <si>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</si>
  <si>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</si>
  <si>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</si>
  <si>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</si>
  <si>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</si>
  <si>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</si>
  <si>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</si>
  <si>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</si>
  <si>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</si>
  <si>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</si>
  <si>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</si>
  <si>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</si>
  <si>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</si>
  <si>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</si>
  <si>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</si>
  <si>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</si>
  <si>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</si>
  <si>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</si>
  <si>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</si>
  <si>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</si>
  <si>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</si>
  <si>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</si>
  <si>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</si>
  <si>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</si>
  <si>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</si>
  <si>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</si>
  <si>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</si>
  <si>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</si>
  <si>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</si>
  <si>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</si>
  <si>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</si>
  <si>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</si>
  <si>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</si>
  <si>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</si>
  <si>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</si>
  <si>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</si>
  <si>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</si>
  <si>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</si>
  <si>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</si>
  <si>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</si>
  <si>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</si>
  <si>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</si>
  <si>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</si>
  <si>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</si>
  <si>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</si>
  <si>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</si>
  <si>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</si>
  <si>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</si>
  <si>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</si>
  <si>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</si>
  <si>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</si>
  <si>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</si>
  <si>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</si>
  <si>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</si>
  <si>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</si>
  <si>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</si>
  <si>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</si>
  <si>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</si>
  <si>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</si>
  <si>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</si>
  <si>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</si>
  <si>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</si>
  <si>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</si>
  <si>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</si>
  <si>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</si>
  <si>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</si>
  <si>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</si>
  <si>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</si>
  <si>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</si>
  <si>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</si>
  <si>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</si>
  <si>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</si>
  <si>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</si>
  <si>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</si>
  <si>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</si>
  <si>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</si>
  <si>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</si>
  <si>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</si>
  <si>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</si>
  <si>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</si>
  <si>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</si>
  <si>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</si>
  <si>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</si>
  <si>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</si>
  <si>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</si>
  <si>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</si>
  <si>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</si>
  <si>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</si>
  <si>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</si>
  <si>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</si>
  <si>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</si>
  <si>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</si>
  <si>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</si>
  <si>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</si>
  <si>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</si>
  <si>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</si>
  <si>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</si>
  <si>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</si>
  <si>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</si>
  <si>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</si>
  <si>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</si>
  <si>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</si>
  <si>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</si>
  <si>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</si>
  <si>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</si>
  <si>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</si>
  <si>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</si>
  <si>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</si>
  <si>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</si>
  <si>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</si>
  <si>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</si>
  <si>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</si>
  <si>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</si>
  <si>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</si>
  <si>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</si>
  <si>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</si>
  <si>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</si>
  <si>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</si>
  <si>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</si>
  <si>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</si>
  <si>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</si>
  <si>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</si>
  <si>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</si>
  <si>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</si>
  <si>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</si>
  <si>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</si>
  <si>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</si>
  <si>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</si>
  <si>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</si>
  <si>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</si>
  <si>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</si>
  <si>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</si>
  <si>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</si>
  <si>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</si>
  <si>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</si>
  <si>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</si>
  <si>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</si>
  <si>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</si>
  <si>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</si>
  <si>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</si>
  <si>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</si>
  <si>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</si>
  <si>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</si>
  <si>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</si>
  <si>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</si>
  <si>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</si>
  <si>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</si>
  <si>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</si>
  <si>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</si>
  <si>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</si>
  <si>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</si>
  <si>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</si>
  <si>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</si>
  <si>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</si>
  <si>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</si>
  <si>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</si>
  <si>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</si>
  <si>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</si>
  <si>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</si>
  <si>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</si>
  <si>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</si>
  <si>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</si>
  <si>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</si>
  <si>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</si>
  <si>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</si>
  <si>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</si>
  <si>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</si>
  <si>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</si>
  <si>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</si>
  <si>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</si>
  <si>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</si>
  <si>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</si>
  <si>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</si>
  <si>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</si>
  <si>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</si>
  <si>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</si>
  <si>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</si>
  <si>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</si>
  <si>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</si>
  <si>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</si>
  <si>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</si>
  <si>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</si>
  <si>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</si>
  <si>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</si>
  <si>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</si>
  <si>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</si>
  <si>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</si>
  <si>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</si>
  <si>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</si>
  <si>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</si>
  <si>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</si>
  <si>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</si>
  <si>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</si>
  <si>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</si>
  <si>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</si>
  <si>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</si>
  <si>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</si>
  <si>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</si>
  <si>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</si>
  <si>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</si>
  <si>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</si>
  <si>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</si>
  <si>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</si>
  <si>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</si>
  <si>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</si>
  <si>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</si>
  <si>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</si>
  <si>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</si>
  <si>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</si>
  <si>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</si>
  <si>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</si>
  <si>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</si>
  <si>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</si>
  <si>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</si>
  <si>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</si>
  <si>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</si>
  <si>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</si>
  <si>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</si>
  <si>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</si>
  <si>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</si>
  <si>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</si>
  <si>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</si>
  <si>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</si>
  <si>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</si>
  <si>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</si>
  <si>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</si>
  <si>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</si>
  <si>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</si>
  <si>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</si>
  <si>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</si>
  <si>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</si>
  <si>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</si>
  <si>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</si>
  <si>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</si>
  <si>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</si>
  <si>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</si>
  <si>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</si>
  <si>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</si>
  <si>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</si>
  <si>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</si>
  <si>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</si>
  <si>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</si>
  <si>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</si>
  <si>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</si>
  <si>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</si>
  <si>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</si>
  <si>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</si>
  <si>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</si>
  <si>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</si>
  <si>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</si>
  <si>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</si>
  <si>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</si>
  <si>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</si>
  <si>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</si>
  <si>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</si>
  <si>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</si>
  <si>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</si>
  <si>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</si>
  <si>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</si>
  <si>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</si>
  <si>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</si>
  <si>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</si>
  <si>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</si>
  <si>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</si>
  <si>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</si>
  <si>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</si>
  <si>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</si>
  <si>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</si>
  <si>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</si>
  <si>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</si>
  <si>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</si>
  <si>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</si>
  <si>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</si>
  <si>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</si>
  <si>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</si>
  <si>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</si>
  <si>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</si>
  <si>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</si>
  <si>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</si>
  <si>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</si>
  <si>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</si>
  <si>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</si>
  <si>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</si>
  <si>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</si>
  <si>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</si>
  <si>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</si>
  <si>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</si>
  <si>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</si>
  <si>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</si>
  <si>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</si>
  <si>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</si>
  <si>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</si>
  <si>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</si>
  <si>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</si>
  <si>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</si>
  <si>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</si>
  <si>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</si>
  <si>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</si>
  <si>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</si>
  <si>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</si>
  <si>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</si>
  <si>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</si>
  <si>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</si>
  <si>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</si>
  <si>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</si>
  <si>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</si>
  <si>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</si>
  <si>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</si>
  <si>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</si>
  <si>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</si>
  <si>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</si>
  <si>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</si>
  <si>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</si>
  <si>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</si>
  <si>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</si>
  <si>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</si>
  <si>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</si>
  <si>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</si>
  <si>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</si>
  <si>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</si>
  <si>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</si>
  <si>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</si>
  <si>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</si>
  <si>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</si>
  <si>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</si>
  <si>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</si>
  <si>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</si>
  <si>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</si>
  <si>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</si>
  <si>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</si>
  <si>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</si>
  <si>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</si>
  <si>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</si>
  <si>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</si>
  <si>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</si>
  <si>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</si>
  <si>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</si>
  <si>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</si>
  <si>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</si>
  <si>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</si>
  <si>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</si>
  <si>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</si>
  <si>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</si>
  <si>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</si>
  <si>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</si>
  <si>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</si>
  <si>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</si>
  <si>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</si>
  <si>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</si>
  <si>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</si>
  <si>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</si>
  <si>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</si>
  <si>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</si>
  <si>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</si>
  <si>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</si>
  <si>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</si>
  <si>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</si>
  <si>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</si>
  <si>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</si>
  <si>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</si>
  <si>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</si>
  <si>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</si>
  <si>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</si>
  <si>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</si>
  <si>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</si>
  <si>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</si>
  <si>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</si>
  <si>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</si>
  <si>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</si>
  <si>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</si>
  <si>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</si>
  <si>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</si>
  <si>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</si>
  <si>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</si>
  <si>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</si>
  <si>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</si>
  <si>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</si>
  <si>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</si>
  <si>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</si>
  <si>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</si>
  <si>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</si>
  <si>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</si>
  <si>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</si>
  <si>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</si>
  <si>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</si>
  <si>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</si>
  <si>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</si>
  <si>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</si>
  <si>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</si>
  <si>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</si>
  <si>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</si>
  <si>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</si>
  <si>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</si>
  <si>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</si>
  <si>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</si>
  <si>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</si>
  <si>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</si>
  <si>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</si>
  <si>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</si>
  <si>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</si>
  <si>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</si>
  <si>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</si>
  <si>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</si>
  <si>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</si>
  <si>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</si>
  <si>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</si>
  <si>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</si>
  <si>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</si>
  <si>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</si>
  <si>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</si>
  <si>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</si>
  <si>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</si>
  <si>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</si>
  <si>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</si>
  <si>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</si>
  <si>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</si>
  <si>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</si>
  <si>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</si>
  <si>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</si>
  <si>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</si>
  <si>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</si>
  <si>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</si>
  <si>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</si>
  <si>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</si>
  <si>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</si>
  <si>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</si>
  <si>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</si>
  <si>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</si>
  <si>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</si>
  <si>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</si>
  <si>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</si>
  <si>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</si>
  <si>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</si>
  <si>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</si>
  <si>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</si>
  <si>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</si>
  <si>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</si>
  <si>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</si>
  <si>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</si>
  <si>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</si>
  <si>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</si>
  <si>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</si>
  <si>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</si>
  <si>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</si>
  <si>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</si>
  <si>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</si>
  <si>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</si>
  <si>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</si>
  <si>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</si>
  <si>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</si>
  <si>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</si>
  <si>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</si>
  <si>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</si>
  <si>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</si>
  <si>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</si>
  <si>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</si>
  <si>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</si>
  <si>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</si>
  <si>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</si>
  <si>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</si>
  <si>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</si>
  <si>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</si>
  <si>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</si>
  <si>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</si>
  <si>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</si>
  <si>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</si>
  <si>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</si>
  <si>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</si>
  <si>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</si>
  <si>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</si>
  <si>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</si>
  <si>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</si>
  <si>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</si>
  <si>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</si>
  <si>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</si>
  <si>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</si>
  <si>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</si>
  <si>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</si>
  <si>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</si>
  <si>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</si>
  <si>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</si>
  <si>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</si>
  <si>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</si>
  <si>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</si>
  <si>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</si>
  <si>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</si>
  <si>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</si>
  <si>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</si>
  <si>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</si>
  <si>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</si>
  <si>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</si>
  <si>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</si>
  <si>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</si>
  <si>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</si>
  <si>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</si>
  <si>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</si>
  <si>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</si>
  <si>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</si>
  <si>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</si>
  <si>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</si>
  <si>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</si>
  <si>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</si>
  <si>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</si>
  <si>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</si>
  <si>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</si>
  <si>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</si>
  <si>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</si>
  <si>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</si>
  <si>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</si>
  <si>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</si>
  <si>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</si>
  <si>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</si>
  <si>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</si>
  <si>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</si>
  <si>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</si>
  <si>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</si>
  <si>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</si>
  <si>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</si>
  <si>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</si>
  <si>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</si>
  <si>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</si>
  <si>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</si>
  <si>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</si>
  <si>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</si>
  <si>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</si>
  <si>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</si>
  <si>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</si>
  <si>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</si>
  <si>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</si>
  <si>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</si>
  <si>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</si>
  <si>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</si>
  <si>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</si>
  <si>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</si>
  <si>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</si>
  <si>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</si>
  <si>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</si>
  <si>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</si>
  <si>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</si>
  <si>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</si>
  <si>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</si>
  <si>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</si>
  <si>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</si>
  <si>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</si>
  <si>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</si>
  <si>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</si>
  <si>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</si>
  <si>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</si>
  <si>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</si>
  <si>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</si>
  <si>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</si>
  <si>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</si>
  <si>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</si>
  <si>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</si>
  <si>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</si>
  <si>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</si>
  <si>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</si>
  <si>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</si>
  <si>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</si>
  <si>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</si>
  <si>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</si>
  <si>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</si>
  <si>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</si>
  <si>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</si>
  <si>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</si>
  <si>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</si>
  <si>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</si>
  <si>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</si>
  <si>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</si>
  <si>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</si>
  <si>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</si>
  <si>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</si>
  <si>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</si>
  <si>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</si>
  <si>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</si>
  <si>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</si>
  <si>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</si>
  <si>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</si>
  <si>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</si>
  <si>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</si>
  <si>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</si>
  <si>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</si>
  <si>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</si>
  <si>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</si>
  <si>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</si>
  <si>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</si>
  <si>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</si>
  <si>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</si>
  <si>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</si>
  <si>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</si>
  <si>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</si>
  <si>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</si>
  <si>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</si>
  <si>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</si>
  <si>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</si>
  <si>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</si>
  <si>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</si>
  <si>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</si>
  <si>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</si>
  <si>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</si>
  <si>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</si>
  <si>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</si>
  <si>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</si>
  <si>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</si>
  <si>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</si>
  <si>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</si>
  <si>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</si>
  <si>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</si>
  <si>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</si>
  <si>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</si>
  <si>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</si>
  <si>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</si>
  <si>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</si>
  <si>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</si>
  <si>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</si>
  <si>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</si>
  <si>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</si>
  <si>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</si>
  <si>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</si>
  <si>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</si>
  <si>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</si>
  <si>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</si>
  <si>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</si>
  <si>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</si>
  <si>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</si>
  <si>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</si>
  <si>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</si>
  <si>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</si>
  <si>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</si>
  <si>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</si>
  <si>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</si>
  <si>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</si>
  <si>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</si>
  <si>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</si>
  <si>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</si>
  <si>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</si>
  <si>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</si>
  <si>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</si>
  <si>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</si>
  <si>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</si>
  <si>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</si>
  <si>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</si>
  <si>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</si>
  <si>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</si>
  <si>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</si>
  <si>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</si>
  <si>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</si>
  <si>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</si>
  <si>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</si>
  <si>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</si>
  <si>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</si>
  <si>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</si>
  <si>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</si>
  <si>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</si>
  <si>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</si>
  <si>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</si>
  <si>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</si>
  <si>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</si>
  <si>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</si>
  <si>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</si>
  <si>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</si>
  <si>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</si>
  <si>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</si>
  <si>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</si>
  <si>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</si>
  <si>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</si>
  <si>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</si>
  <si>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</si>
  <si>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</si>
  <si>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</si>
  <si>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</si>
  <si>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</si>
  <si>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</si>
  <si>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</si>
  <si>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</si>
  <si>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</si>
  <si>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</si>
  <si>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</si>
  <si>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</si>
  <si>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</si>
  <si>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</si>
  <si>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</si>
  <si>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</si>
  <si>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</si>
  <si>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</si>
  <si>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</si>
  <si>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</si>
  <si>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</si>
  <si>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</si>
  <si>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</si>
  <si>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</si>
  <si>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</si>
  <si>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</si>
  <si>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</si>
  <si>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</si>
  <si>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</si>
  <si>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</si>
  <si>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</si>
  <si>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</si>
  <si>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</si>
  <si>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</si>
  <si>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</si>
  <si>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</si>
  <si>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</si>
  <si>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</si>
  <si>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</si>
  <si>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</si>
  <si>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</si>
  <si>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</si>
  <si>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</si>
  <si>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</si>
  <si>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</si>
  <si>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</si>
  <si>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</si>
  <si>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</si>
  <si>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</si>
  <si>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</si>
  <si>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</si>
  <si>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</si>
  <si>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</si>
  <si>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</si>
  <si>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</si>
  <si>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</si>
  <si>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</si>
  <si>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</si>
  <si>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</si>
  <si>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</si>
  <si>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</si>
  <si>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</si>
  <si>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</si>
  <si>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</si>
  <si>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</si>
  <si>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</si>
  <si>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</si>
  <si>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</si>
  <si>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</si>
  <si>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</si>
  <si>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</si>
  <si>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</si>
  <si>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</si>
  <si>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</si>
  <si>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</si>
  <si>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</si>
  <si>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</si>
  <si>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</si>
  <si>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</si>
  <si>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</si>
  <si>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</si>
  <si>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</si>
  <si>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</si>
  <si>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</si>
  <si>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</si>
  <si>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</si>
  <si>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</si>
  <si>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</si>
  <si>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</si>
  <si>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</si>
  <si>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</si>
  <si>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</si>
  <si>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</si>
  <si>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</si>
  <si>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</si>
  <si>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</si>
  <si>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</si>
  <si>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</si>
  <si>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</si>
  <si>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</si>
  <si>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</si>
  <si>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</si>
  <si>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</si>
  <si>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</si>
  <si>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</si>
  <si>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</si>
  <si>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</si>
  <si>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</si>
  <si>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</si>
  <si>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</si>
  <si>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</si>
  <si>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</si>
  <si>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</si>
  <si>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</si>
  <si>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</si>
  <si>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</si>
  <si>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</si>
  <si>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</si>
  <si>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</si>
  <si>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</si>
  <si>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</si>
  <si>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</si>
  <si>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</si>
  <si>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</si>
  <si>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</si>
  <si>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</si>
  <si>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</si>
  <si>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</si>
  <si>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</si>
  <si>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</si>
  <si>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</si>
  <si>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</si>
  <si>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</si>
  <si>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</si>
  <si>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</si>
  <si>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</si>
  <si>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</si>
  <si>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</si>
  <si>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</si>
  <si>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</si>
  <si>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</si>
  <si>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</si>
  <si>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</si>
  <si>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</si>
  <si>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</si>
  <si>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</si>
  <si>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</si>
  <si>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</si>
  <si>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</si>
  <si>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</si>
  <si>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</si>
  <si>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</si>
  <si>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</si>
  <si>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</si>
  <si>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</si>
  <si>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</si>
  <si>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</si>
  <si>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</si>
  <si>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</si>
  <si>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</si>
  <si>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</si>
  <si>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</si>
  <si>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</si>
  <si>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</si>
  <si>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</si>
  <si>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</si>
  <si>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</si>
  <si>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</si>
  <si>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</si>
  <si>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</si>
  <si>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</si>
  <si>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</si>
  <si>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</si>
  <si>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</si>
  <si>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</si>
  <si>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</si>
  <si>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</si>
  <si>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</si>
  <si>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</si>
  <si>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</si>
  <si>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</si>
  <si>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</si>
  <si>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</si>
  <si>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</si>
  <si>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</si>
  <si>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</si>
  <si>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</si>
  <si>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</si>
  <si>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</si>
  <si>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</si>
  <si>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</si>
  <si>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</si>
  <si>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</si>
  <si>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</si>
  <si>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</si>
  <si>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</si>
  <si>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</si>
  <si>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</si>
  <si>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</si>
  <si>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</si>
  <si>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</si>
  <si>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</si>
  <si>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</si>
  <si>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</si>
  <si>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</si>
  <si>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</si>
  <si>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</si>
  <si>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</si>
  <si>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</si>
  <si>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</si>
  <si>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</si>
  <si>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</si>
  <si>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</si>
  <si>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</si>
  <si>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</si>
  <si>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</si>
  <si>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</si>
  <si>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</si>
  <si>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</si>
  <si>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</si>
  <si>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</si>
  <si>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</si>
  <si>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</si>
  <si>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</si>
  <si>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</si>
  <si>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</si>
  <si>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</si>
  <si>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</si>
  <si>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</si>
  <si>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</si>
  <si>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</si>
  <si>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</si>
  <si>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</si>
  <si>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</si>
  <si>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</si>
  <si>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</si>
  <si>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</si>
  <si>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</si>
  <si>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</si>
  <si>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</si>
  <si>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</si>
  <si>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</si>
  <si>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</si>
  <si>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</si>
  <si>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</si>
  <si>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</si>
  <si>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</si>
  <si>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</si>
  <si>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</si>
  <si>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</si>
  <si>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</si>
  <si>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</si>
  <si>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</si>
  <si>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</si>
  <si>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</si>
  <si>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</si>
  <si>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</si>
  <si>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</si>
  <si>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</si>
  <si>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</si>
  <si>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</si>
  <si>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</si>
  <si>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</si>
  <si>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</si>
  <si>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</si>
  <si>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</si>
  <si>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</si>
  <si>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</si>
  <si>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</si>
  <si>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</si>
  <si>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</si>
  <si>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</si>
  <si>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</si>
  <si>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</si>
  <si>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</si>
  <si>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</si>
  <si>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</si>
  <si>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</si>
  <si>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</si>
  <si>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</si>
  <si>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</si>
  <si>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</si>
  <si>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</si>
  <si>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</si>
  <si>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</si>
  <si>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</si>
  <si>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</si>
  <si>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</si>
  <si>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</si>
  <si>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</si>
  <si>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</si>
  <si>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</si>
  <si>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</si>
  <si>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</si>
  <si>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</si>
  <si>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</si>
  <si>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</si>
  <si>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</si>
  <si>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</si>
  <si>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</si>
  <si>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</si>
  <si>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</si>
  <si>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</si>
  <si>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</si>
  <si>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</si>
  <si>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</si>
  <si>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</si>
  <si>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</si>
  <si>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</si>
  <si>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</si>
  <si>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</si>
  <si>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</si>
  <si>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</si>
  <si>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</si>
  <si>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</si>
  <si>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</si>
  <si>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</si>
  <si>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</si>
  <si>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</si>
  <si>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</si>
  <si>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</si>
  <si>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</si>
  <si>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</si>
  <si>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</si>
  <si>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</si>
  <si>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</si>
  <si>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</si>
  <si>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</si>
  <si>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</si>
  <si>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</si>
  <si>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</si>
  <si>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</si>
  <si>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</si>
  <si>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</si>
  <si>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</si>
  <si>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</si>
  <si>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</si>
  <si>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</si>
  <si>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</si>
  <si>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</si>
  <si>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</si>
  <si>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</si>
  <si>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</si>
  <si>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</si>
  <si>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</si>
  <si>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</si>
  <si>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</si>
  <si>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</si>
  <si>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</si>
  <si>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</si>
  <si>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</si>
  <si>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</si>
  <si>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</si>
  <si>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</si>
  <si>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</si>
  <si>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</si>
  <si>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</si>
  <si>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</si>
  <si>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</si>
  <si>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</si>
  <si>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</si>
  <si>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</si>
  <si>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</si>
  <si>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</si>
  <si>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</si>
  <si>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</si>
  <si>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</si>
  <si>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</si>
  <si>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</si>
  <si>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</si>
  <si>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</si>
  <si>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</si>
  <si>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</si>
  <si>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</si>
  <si>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</si>
  <si>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</si>
  <si>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</si>
  <si>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</si>
  <si>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</si>
  <si>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</si>
  <si>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</si>
  <si>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</si>
  <si>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</si>
  <si>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</si>
  <si>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</si>
  <si>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</si>
  <si>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</si>
  <si>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</si>
  <si>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</si>
  <si>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</si>
  <si>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</si>
  <si>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</si>
  <si>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</si>
  <si>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</si>
  <si>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</si>
  <si>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</si>
  <si>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</si>
  <si>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</si>
  <si>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</si>
  <si>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</si>
  <si>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</si>
  <si>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</si>
  <si>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</si>
  <si>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</si>
  <si>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</si>
  <si>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</si>
  <si>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</si>
  <si>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</si>
  <si>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</si>
  <si>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</si>
  <si>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</si>
  <si>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</si>
  <si>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</si>
  <si>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</si>
  <si>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</si>
  <si>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</si>
  <si>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</si>
  <si>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</si>
  <si>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</si>
  <si>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</si>
  <si>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</si>
  <si>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</si>
  <si>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</si>
  <si>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</si>
  <si>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</si>
  <si>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</si>
  <si>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</si>
  <si>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</si>
  <si>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</si>
  <si>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</si>
  <si>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</si>
  <si>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</si>
  <si>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</si>
  <si>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</si>
  <si>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</si>
  <si>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</si>
  <si>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</si>
  <si>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</si>
  <si>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</si>
  <si>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</si>
  <si>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</si>
  <si>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</si>
  <si>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</si>
  <si>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</si>
  <si>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</si>
  <si>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</si>
  <si>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</si>
  <si>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</si>
  <si>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</si>
  <si>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</si>
  <si>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</si>
  <si>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</si>
  <si>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</si>
  <si>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</si>
  <si>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</si>
  <si>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</si>
  <si>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</si>
  <si>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</si>
  <si>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</si>
  <si>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</si>
  <si>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</si>
  <si>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</si>
  <si>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</si>
  <si>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</si>
  <si>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</si>
  <si>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</si>
  <si>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</si>
  <si>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</si>
  <si>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</si>
  <si>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</si>
  <si>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</si>
  <si>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</si>
  <si>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</si>
  <si>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</si>
  <si>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</si>
  <si>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</si>
  <si>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</si>
  <si>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</si>
  <si>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</si>
  <si>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</si>
  <si>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</si>
  <si>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</si>
  <si>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</si>
  <si>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</si>
  <si>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</si>
  <si>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</si>
  <si>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</si>
  <si>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</si>
  <si>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</si>
  <si>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</si>
  <si>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</si>
  <si>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</si>
  <si>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</si>
  <si>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</si>
  <si>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</si>
  <si>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</si>
  <si>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</si>
  <si>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</si>
  <si>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</si>
  <si>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</si>
  <si>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</si>
  <si>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</si>
  <si>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</si>
  <si>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</si>
  <si>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</si>
  <si>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</si>
  <si>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</si>
  <si>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</si>
  <si>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</si>
  <si>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</si>
  <si>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</si>
  <si>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</si>
  <si>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</si>
  <si>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</si>
  <si>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</si>
  <si>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</si>
  <si>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</si>
  <si>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</si>
  <si>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</si>
  <si>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</si>
  <si>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</si>
  <si>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</si>
  <si>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</si>
  <si>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</si>
  <si>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</si>
  <si>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</si>
  <si>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</si>
  <si>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</si>
  <si>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</si>
  <si>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</si>
  <si>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</si>
  <si>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</si>
  <si>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</si>
  <si>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</si>
  <si>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</si>
  <si>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</si>
  <si>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</si>
  <si>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</si>
  <si>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</si>
  <si>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</si>
  <si>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</si>
  <si>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</si>
  <si>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</si>
  <si>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</si>
  <si>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</si>
  <si>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</si>
  <si>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</si>
  <si>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</si>
  <si>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</si>
  <si>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</si>
  <si>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</si>
  <si>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</si>
  <si>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</si>
  <si>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</si>
  <si>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</si>
  <si>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</si>
  <si>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</si>
  <si>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</si>
  <si>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</si>
  <si>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</si>
  <si>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</si>
  <si>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</si>
  <si>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</si>
  <si>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</si>
  <si>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</si>
  <si>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</si>
  <si>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</si>
  <si>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</si>
  <si>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</si>
  <si>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</si>
  <si>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</si>
  <si>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</si>
  <si>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</si>
  <si>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</si>
  <si>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</si>
  <si>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</si>
  <si>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</si>
  <si>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</si>
  <si>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</si>
  <si>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</si>
  <si>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</si>
  <si>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</si>
  <si>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</si>
  <si>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</si>
  <si>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</si>
  <si>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</si>
  <si>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</si>
  <si>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</si>
  <si>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</si>
  <si>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</si>
  <si>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</si>
  <si>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</si>
  <si>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</si>
  <si>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</si>
  <si>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</si>
  <si>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</si>
  <si>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</si>
  <si>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</si>
  <si>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</si>
  <si>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</si>
  <si>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</si>
  <si>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</si>
  <si>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</si>
  <si>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</si>
  <si>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</si>
  <si>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</si>
  <si>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</si>
  <si>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</si>
  <si>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</si>
  <si>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</si>
  <si>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</si>
  <si>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</si>
  <si>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</si>
  <si>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</si>
  <si>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</si>
  <si>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</si>
  <si>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</si>
  <si>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</si>
  <si>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</si>
  <si>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</si>
  <si>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</si>
  <si>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</si>
  <si>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</si>
  <si>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</si>
  <si>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</si>
  <si>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</si>
  <si>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</si>
  <si>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</si>
  <si>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</si>
  <si>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</si>
  <si>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</si>
  <si>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</si>
  <si>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</si>
  <si>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</si>
  <si>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</si>
  <si>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</si>
  <si>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</si>
  <si>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</si>
  <si>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</si>
  <si>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</si>
  <si>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</si>
  <si>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</si>
  <si>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</si>
  <si>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</si>
  <si>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</si>
  <si>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</si>
  <si>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</si>
  <si>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</si>
  <si>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</si>
  <si>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</si>
  <si>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</si>
  <si>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</si>
  <si>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</si>
  <si>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</si>
  <si>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</si>
  <si>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</si>
  <si>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</si>
  <si>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</si>
  <si>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</si>
  <si>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</si>
  <si>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</si>
  <si>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</si>
  <si>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</si>
  <si>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</si>
  <si>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</si>
  <si>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</si>
  <si>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</si>
  <si>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</si>
  <si>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</si>
  <si>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</si>
  <si>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</si>
  <si>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</si>
  <si>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</si>
  <si>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</si>
  <si>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</si>
  <si>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</si>
  <si>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</si>
  <si>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</si>
  <si>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</si>
  <si>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</si>
  <si>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</si>
  <si>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</si>
  <si>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</si>
  <si>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</si>
  <si>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</si>
  <si>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</si>
  <si>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</si>
  <si>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</si>
  <si>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</si>
  <si>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</si>
  <si>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</si>
  <si>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</si>
  <si>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</si>
  <si>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</si>
  <si>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</si>
  <si>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</si>
  <si>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</si>
  <si>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</si>
  <si>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</si>
  <si>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</si>
  <si>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</si>
  <si>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</si>
  <si>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</si>
  <si>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</si>
  <si>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</si>
  <si>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</si>
  <si>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</si>
  <si>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</si>
  <si>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</si>
  <si>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</si>
  <si>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</si>
  <si>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</si>
  <si>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</si>
  <si>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</si>
  <si>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</si>
  <si>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</si>
  <si>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</si>
  <si>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</si>
  <si>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</si>
  <si>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</si>
  <si>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</si>
  <si>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</si>
  <si>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</si>
  <si>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</si>
  <si>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</si>
  <si>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</si>
  <si>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</si>
  <si>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</si>
  <si>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</si>
  <si>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</si>
  <si>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</si>
  <si>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</si>
  <si>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</si>
  <si>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</si>
  <si>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</si>
  <si>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</si>
  <si>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</si>
  <si>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</si>
  <si>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</si>
  <si>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</si>
  <si>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</si>
  <si>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</si>
  <si>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</si>
  <si>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</si>
  <si>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</si>
  <si>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</si>
  <si>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</si>
  <si>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</si>
  <si>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</si>
  <si>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</si>
  <si>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</si>
  <si>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</si>
  <si>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</si>
  <si>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</si>
  <si>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</si>
  <si>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</si>
  <si>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</si>
  <si>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</si>
  <si>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</si>
  <si>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</si>
  <si>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</si>
  <si>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</si>
  <si>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</si>
  <si>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</si>
  <si>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</si>
  <si>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</si>
  <si>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</si>
  <si>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</si>
  <si>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</si>
  <si>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</si>
  <si>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</si>
  <si>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</si>
  <si>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</si>
  <si>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</si>
  <si>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</si>
  <si>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</si>
  <si>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</si>
  <si>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</si>
  <si>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</si>
  <si>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</si>
  <si>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</si>
  <si>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</si>
  <si>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</si>
  <si>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</si>
  <si>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</si>
  <si>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</si>
  <si>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</si>
  <si>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</si>
  <si>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</si>
  <si>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</si>
  <si>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</si>
  <si>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</si>
  <si>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</si>
  <si>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</si>
  <si>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</si>
  <si>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</si>
  <si>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</si>
  <si>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</si>
  <si>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</si>
  <si>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</si>
  <si>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</si>
  <si>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</si>
  <si>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</si>
  <si>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</si>
  <si>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</si>
  <si>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</si>
  <si>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</si>
  <si>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</si>
  <si>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</si>
  <si>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</si>
  <si>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</si>
  <si>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</si>
  <si>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</si>
  <si>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</si>
  <si>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</si>
  <si>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</si>
  <si>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</si>
  <si>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</si>
  <si>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</si>
  <si>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</si>
  <si>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</si>
  <si>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</si>
  <si>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</si>
  <si>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</si>
  <si>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</si>
  <si>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</si>
  <si>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</si>
  <si>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</si>
  <si>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</si>
  <si>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</si>
  <si>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</si>
  <si>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</si>
  <si>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</si>
  <si>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</si>
  <si>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</si>
  <si>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</si>
  <si>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</si>
  <si>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</si>
  <si>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</si>
  <si>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</si>
  <si>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</si>
  <si>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</si>
  <si>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</si>
  <si>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</si>
  <si>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</si>
  <si>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</si>
  <si>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</si>
  <si>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</si>
  <si>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</si>
  <si>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</si>
  <si>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</si>
  <si>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</si>
  <si>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</si>
  <si>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</si>
  <si>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</si>
  <si>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</si>
  <si>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</si>
  <si>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</si>
  <si>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</si>
  <si>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</si>
  <si>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</si>
  <si>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</si>
  <si>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</si>
  <si>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</si>
  <si>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</si>
  <si>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</si>
  <si>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</si>
  <si>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</si>
  <si>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</si>
  <si>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</si>
  <si>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</si>
  <si>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</si>
  <si>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</si>
  <si>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</si>
  <si>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</si>
  <si>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</si>
  <si>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</si>
  <si>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</si>
  <si>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</si>
  <si>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</si>
  <si>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</si>
  <si>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</si>
  <si>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</si>
  <si>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</si>
  <si>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</si>
  <si>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</si>
  <si>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</si>
  <si>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</si>
  <si>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</si>
  <si>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</si>
  <si>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</si>
  <si>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</si>
  <si>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</si>
  <si>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</si>
  <si>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</si>
  <si>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</si>
  <si>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</si>
  <si>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</si>
  <si>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</si>
  <si>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</si>
  <si>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</si>
  <si>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</si>
  <si>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</si>
  <si>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</si>
  <si>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</si>
  <si>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</si>
  <si>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</si>
  <si>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</si>
  <si>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</si>
  <si>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</si>
  <si>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</si>
  <si>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</si>
  <si>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</si>
  <si>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</si>
  <si>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</si>
  <si>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</si>
  <si>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</si>
  <si>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</si>
  <si>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</si>
  <si>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</si>
  <si>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</si>
  <si>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</si>
  <si>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</si>
  <si>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</si>
  <si>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</si>
  <si>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</si>
  <si>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</si>
  <si>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</si>
  <si>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</si>
  <si>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</si>
  <si>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</si>
  <si>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</si>
  <si>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</si>
  <si>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</si>
  <si>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</si>
  <si>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</si>
  <si>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</si>
  <si>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</si>
  <si>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</si>
  <si>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</si>
  <si>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</si>
  <si>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</si>
  <si>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</si>
  <si>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</si>
  <si>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</si>
  <si>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</si>
  <si>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</si>
  <si>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</si>
  <si>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</si>
  <si>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</si>
  <si>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</si>
  <si>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</si>
  <si>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</si>
  <si>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</si>
  <si>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</si>
  <si>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</si>
  <si>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</si>
  <si>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</si>
  <si>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</si>
  <si>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</si>
  <si>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</si>
  <si>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</si>
  <si>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</si>
  <si>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</si>
  <si>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</si>
  <si>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</si>
  <si>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</si>
  <si>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</si>
  <si>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</si>
  <si>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</si>
  <si>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</si>
  <si>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</si>
  <si>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</si>
  <si>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</si>
  <si>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</si>
  <si>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</si>
  <si>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</si>
  <si>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</si>
  <si>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</si>
  <si>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</si>
  <si>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</si>
  <si>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</si>
  <si>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</si>
  <si>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</si>
  <si>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</si>
  <si>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</si>
  <si>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</si>
  <si>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</si>
  <si>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</si>
  <si>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</si>
  <si>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</si>
  <si>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</si>
  <si>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</si>
  <si>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</si>
  <si>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</si>
  <si>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</si>
  <si>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</si>
  <si>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</si>
  <si>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</si>
  <si>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</si>
  <si>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</si>
  <si>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</si>
  <si>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</si>
  <si>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</si>
  <si>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</si>
  <si>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</si>
  <si>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</si>
  <si>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</si>
  <si>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</si>
  <si>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</si>
  <si>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</si>
  <si>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</si>
  <si>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</si>
  <si>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</si>
  <si>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</si>
  <si>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</si>
  <si>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</si>
  <si>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</si>
  <si>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</si>
  <si>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</si>
  <si>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</si>
  <si>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</si>
  <si>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</si>
  <si>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</si>
  <si>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</si>
  <si>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</si>
  <si>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</si>
  <si>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</si>
  <si>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</si>
  <si>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</si>
  <si>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</si>
  <si>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</si>
  <si>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</si>
  <si>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</si>
  <si>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</si>
  <si>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</si>
  <si>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</si>
  <si>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</si>
  <si>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</si>
  <si>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</si>
  <si>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</si>
  <si>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</si>
  <si>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</si>
  <si>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</si>
  <si>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</si>
  <si>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</si>
  <si>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</si>
  <si>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</si>
  <si>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</si>
  <si>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</si>
  <si>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</si>
  <si>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</si>
  <si>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</si>
  <si>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</si>
  <si>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</si>
  <si>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</si>
  <si>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</si>
  <si>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</si>
  <si>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</si>
  <si>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</si>
  <si>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</si>
  <si>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</si>
  <si>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</si>
  <si>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</si>
  <si>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</si>
  <si>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</si>
  <si>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</si>
  <si>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</si>
  <si>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</si>
  <si>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</si>
  <si>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</si>
  <si>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</si>
  <si>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</si>
  <si>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</si>
  <si>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</si>
  <si>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</si>
  <si>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</si>
  <si>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</si>
  <si>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</si>
  <si>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</si>
  <si>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</si>
  <si>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</si>
  <si>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</si>
  <si>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</si>
  <si>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</si>
  <si>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</si>
  <si>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</si>
  <si>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</si>
  <si>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</si>
  <si>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</si>
  <si>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</si>
  <si>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</si>
  <si>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</si>
  <si>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</si>
  <si>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</si>
  <si>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</si>
  <si>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</si>
  <si>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</si>
  <si>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</si>
  <si>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</si>
  <si>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</si>
  <si>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</si>
  <si>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</si>
  <si>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</si>
  <si>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</si>
  <si>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</si>
  <si>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</si>
  <si>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</si>
  <si>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</si>
  <si>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</si>
  <si>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</si>
  <si>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</si>
  <si>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</si>
  <si>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</si>
  <si>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</si>
  <si>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</si>
  <si>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</si>
  <si>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</si>
  <si>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</si>
  <si>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</si>
  <si>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</si>
  <si>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</si>
  <si>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</si>
  <si>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</si>
  <si>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</si>
  <si>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</si>
  <si>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</si>
  <si>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</si>
  <si>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</si>
  <si>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</si>
  <si>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</si>
  <si>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</si>
  <si>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</si>
  <si>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</si>
  <si>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</si>
  <si>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</si>
  <si>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</si>
  <si>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</si>
  <si>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</si>
  <si>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</si>
  <si>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</si>
  <si>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</si>
  <si>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</si>
  <si>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</si>
  <si>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</si>
  <si>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</si>
  <si>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</si>
  <si>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</si>
  <si>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</si>
  <si>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</si>
  <si>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</si>
  <si>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</si>
  <si>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</si>
  <si>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</si>
  <si>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</si>
  <si>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</si>
  <si>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</si>
  <si>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</si>
  <si>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</si>
  <si>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</si>
  <si>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</si>
  <si>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</si>
  <si>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</si>
  <si>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</si>
  <si>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</si>
  <si>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</si>
  <si>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</si>
  <si>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</si>
  <si>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</si>
  <si>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</si>
  <si>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</si>
  <si>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</si>
  <si>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</si>
  <si>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</si>
  <si>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</si>
  <si>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</si>
  <si>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</si>
  <si>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</si>
  <si>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</si>
  <si>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</si>
  <si>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</si>
  <si>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</si>
  <si>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</si>
  <si>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</si>
  <si>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</si>
  <si>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</si>
  <si>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</si>
  <si>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</si>
  <si>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</si>
  <si>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</si>
  <si>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</si>
  <si>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</si>
  <si>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</si>
  <si>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</si>
  <si>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</si>
  <si>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</si>
  <si>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</si>
  <si>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</si>
  <si>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</si>
  <si>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</si>
  <si>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</si>
  <si>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</si>
  <si>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</si>
  <si>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</si>
  <si>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</si>
  <si>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</si>
  <si>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</si>
  <si>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</si>
  <si>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</si>
  <si>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</si>
  <si>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</si>
  <si>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</si>
  <si>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</si>
  <si>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</si>
  <si>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</si>
  <si>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</si>
  <si>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</si>
  <si>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</si>
  <si>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</si>
  <si>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</si>
  <si>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</si>
  <si>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</si>
  <si>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</si>
  <si>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</si>
  <si>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</si>
  <si>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</si>
  <si>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</si>
  <si>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</si>
  <si>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</si>
  <si>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</si>
  <si>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</si>
  <si>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</si>
  <si>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</si>
  <si>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</si>
  <si>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</si>
  <si>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</si>
  <si>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</si>
  <si>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</si>
  <si>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</si>
  <si>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</si>
  <si>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</si>
  <si>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</si>
  <si>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</si>
  <si>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</si>
  <si>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</si>
  <si>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</si>
  <si>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</si>
  <si>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</si>
  <si>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</si>
  <si>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</si>
  <si>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</si>
  <si>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</si>
  <si>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</si>
  <si>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</si>
  <si>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</si>
  <si>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</si>
  <si>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</si>
  <si>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</si>
  <si>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</si>
  <si>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</si>
  <si>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</si>
  <si>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</si>
  <si>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</si>
  <si>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</si>
  <si>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</si>
  <si>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</si>
  <si>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</si>
  <si>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</si>
  <si>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</si>
  <si>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</si>
  <si>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</si>
  <si>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</si>
  <si>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</si>
  <si>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</si>
  <si>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</si>
  <si>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</si>
  <si>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</si>
  <si>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</si>
  <si>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</si>
  <si>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</si>
  <si>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</si>
  <si>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</si>
  <si>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</si>
  <si>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</si>
  <si>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</si>
  <si>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</si>
  <si>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</si>
  <si>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</si>
  <si>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</si>
  <si>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</si>
  <si>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</si>
  <si>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</si>
  <si>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</si>
  <si>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</si>
  <si>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</si>
  <si>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</si>
  <si>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</si>
  <si>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</si>
  <si>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</si>
  <si>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</si>
  <si>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</si>
  <si>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</si>
  <si>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</si>
  <si>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</si>
  <si>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</si>
  <si>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</si>
  <si>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</si>
  <si>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</si>
  <si>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</si>
  <si>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</si>
  <si>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</si>
  <si>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</si>
  <si>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</si>
  <si>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</si>
  <si>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</si>
  <si>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</si>
  <si>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</si>
  <si>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</si>
  <si>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</si>
  <si>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</si>
  <si>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</si>
  <si>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</si>
  <si>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</si>
  <si>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</si>
  <si>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</si>
  <si>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</si>
  <si>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</si>
  <si>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</si>
  <si>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</si>
  <si>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</si>
  <si>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</si>
  <si>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</si>
  <si>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</si>
  <si>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</si>
  <si>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</si>
  <si>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</si>
  <si>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</si>
  <si>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</si>
  <si>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</si>
  <si>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</si>
  <si>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</si>
  <si>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</si>
  <si>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</si>
  <si>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</si>
  <si>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</si>
  <si>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</si>
  <si>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</si>
  <si>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</si>
  <si>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</si>
  <si>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</si>
  <si>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</si>
  <si>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</si>
  <si>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</si>
  <si>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</si>
  <si>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</si>
  <si>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</si>
  <si>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</si>
  <si>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</si>
  <si>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</si>
  <si>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</si>
  <si>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</si>
  <si>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</si>
  <si>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</si>
  <si>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</si>
  <si>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</si>
  <si>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</si>
  <si>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</si>
  <si>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</si>
  <si>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</si>
  <si>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</si>
  <si>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</si>
  <si>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</si>
  <si>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</si>
  <si>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</si>
  <si>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</si>
  <si>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</si>
  <si>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</si>
  <si>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</si>
  <si>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</si>
  <si>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</si>
  <si>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</si>
  <si>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</si>
  <si>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</si>
  <si>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</si>
  <si>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</si>
  <si>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</si>
  <si>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</si>
  <si>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</si>
  <si>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</si>
  <si>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</si>
  <si>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</si>
  <si>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</si>
  <si>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</si>
  <si>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</si>
  <si>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</si>
  <si>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</si>
  <si>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</si>
  <si>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</si>
  <si>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</si>
  <si>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</si>
  <si>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</si>
  <si>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</si>
  <si>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</si>
  <si>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</si>
  <si>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</si>
  <si>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</si>
  <si>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</si>
  <si>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</si>
  <si>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</si>
  <si>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</si>
  <si>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</si>
  <si>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</si>
  <si>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</si>
  <si>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</si>
  <si>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</si>
  <si>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</si>
  <si>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</si>
  <si>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</si>
  <si>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</si>
  <si>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</si>
  <si>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</si>
  <si>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</si>
  <si>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</si>
  <si>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</si>
  <si>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</si>
  <si>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</si>
  <si>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</si>
  <si>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</si>
  <si>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</si>
  <si>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</si>
  <si>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</si>
  <si>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</si>
  <si>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</si>
  <si>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</si>
  <si>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</si>
  <si>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</si>
  <si>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</si>
  <si>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</si>
  <si>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</si>
  <si>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</si>
  <si>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</si>
  <si>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</si>
  <si>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</si>
  <si>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</si>
  <si>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</si>
  <si>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</si>
  <si>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</si>
  <si>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</si>
  <si>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</si>
  <si>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</si>
  <si>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</si>
  <si>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</si>
  <si>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</si>
  <si>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</si>
  <si>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</si>
  <si>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</si>
  <si>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</si>
  <si>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</si>
  <si>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</si>
  <si>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</si>
  <si>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</si>
  <si>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</si>
  <si>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</si>
  <si>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</si>
  <si>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</si>
  <si>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</si>
  <si>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</si>
  <si>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</si>
  <si>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</si>
  <si>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</si>
  <si>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</si>
  <si>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</si>
  <si>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</si>
  <si>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</si>
  <si>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</si>
  <si>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</si>
  <si>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</si>
  <si>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</si>
  <si>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</si>
  <si>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</si>
  <si>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</si>
  <si>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</si>
  <si>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</si>
  <si>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</si>
  <si>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</si>
  <si>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</si>
  <si>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</si>
  <si>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</si>
  <si>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</si>
  <si>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</si>
  <si>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</si>
  <si>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</si>
  <si>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</si>
  <si>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</si>
  <si>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</si>
  <si>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</si>
  <si>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</si>
  <si>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</si>
  <si>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</si>
  <si>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</si>
  <si>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</si>
  <si>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</si>
  <si>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</si>
  <si>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</si>
  <si>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</si>
  <si>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</si>
  <si>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</si>
  <si>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</si>
  <si>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</si>
  <si>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</si>
  <si>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</si>
  <si>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</si>
  <si>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</si>
  <si>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</si>
  <si>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</si>
  <si>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</si>
  <si>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</si>
  <si>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</si>
  <si>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</si>
  <si>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</si>
  <si>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</si>
  <si>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</si>
  <si>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</si>
  <si>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</si>
  <si>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</si>
  <si>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</si>
  <si>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</si>
  <si>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</si>
  <si>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</si>
  <si>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</si>
  <si>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</si>
  <si>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</si>
  <si>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</si>
  <si>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</si>
  <si>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</si>
  <si>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</si>
  <si>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</si>
  <si>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</si>
  <si>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</si>
  <si>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</si>
  <si>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</si>
  <si>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</si>
  <si>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</si>
  <si>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</si>
  <si>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</si>
  <si>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</si>
  <si>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</si>
  <si>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</si>
  <si>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</si>
  <si>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</si>
  <si>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</si>
  <si>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</si>
  <si>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</si>
  <si>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</si>
  <si>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</si>
  <si>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</si>
  <si>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</si>
  <si>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</si>
  <si>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</si>
  <si>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</si>
  <si>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</si>
  <si>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</si>
  <si>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</si>
  <si>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</si>
  <si>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</si>
  <si>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</si>
  <si>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</si>
  <si>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</si>
  <si>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</si>
  <si>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</si>
  <si>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</si>
  <si>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</si>
  <si>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</si>
  <si>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</si>
  <si>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</si>
  <si>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</si>
  <si>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</si>
  <si>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</si>
  <si>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</si>
  <si>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</si>
  <si>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</si>
  <si>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</si>
  <si>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</si>
  <si>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</si>
  <si>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</si>
  <si>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</si>
  <si>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</si>
  <si>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</si>
  <si>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</si>
  <si>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</si>
  <si>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</si>
  <si>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</si>
  <si>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</si>
  <si>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</si>
  <si>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</si>
  <si>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</si>
  <si>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</si>
  <si>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</si>
  <si>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</si>
  <si>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</si>
  <si>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</si>
  <si>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</si>
  <si>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</si>
  <si>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</si>
  <si>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</si>
  <si>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</si>
  <si>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</si>
  <si>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</si>
  <si>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</si>
  <si>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</si>
  <si>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</si>
  <si>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</si>
  <si>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</si>
  <si>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</si>
  <si>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</si>
  <si>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</si>
  <si>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</si>
  <si>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</si>
  <si>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</si>
  <si>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</si>
  <si>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</si>
  <si>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</si>
  <si>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</si>
  <si>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</si>
  <si>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</si>
  <si>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</si>
  <si>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</si>
  <si>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</si>
  <si>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</si>
  <si>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</si>
  <si>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</si>
  <si>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</si>
  <si>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</si>
  <si>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</si>
  <si>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</si>
  <si>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</si>
  <si>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</si>
  <si>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</si>
  <si>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</si>
  <si>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</si>
  <si>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</si>
  <si>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</si>
  <si>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</si>
  <si>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</si>
  <si>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</si>
  <si>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</si>
  <si>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</si>
  <si>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</si>
  <si>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</si>
  <si>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</si>
  <si>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</si>
  <si>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</si>
  <si>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</si>
  <si>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</si>
  <si>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</si>
  <si>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</si>
  <si>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</si>
  <si>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</si>
  <si>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</si>
  <si>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</si>
  <si>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</si>
  <si>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</si>
  <si>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</si>
  <si>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</si>
  <si>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</si>
  <si>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</si>
  <si>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</si>
  <si>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</si>
  <si>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</si>
  <si>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</si>
  <si>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</si>
  <si>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</si>
  <si>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</si>
  <si>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</si>
  <si>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</si>
  <si>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</si>
  <si>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</si>
  <si>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</si>
  <si>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</si>
  <si>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</si>
  <si>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</si>
  <si>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</si>
  <si>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</si>
  <si>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</si>
  <si>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</si>
  <si>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</si>
  <si>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</si>
  <si>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</si>
  <si>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</si>
  <si>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</si>
  <si>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</si>
  <si>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</si>
  <si>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</si>
  <si>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</si>
  <si>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</si>
  <si>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</si>
  <si>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</si>
  <si>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</si>
  <si>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</si>
  <si>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</si>
  <si>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</si>
  <si>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</si>
  <si>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</si>
  <si>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</si>
  <si>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</si>
  <si>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</si>
  <si>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</si>
  <si>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</si>
  <si>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</si>
  <si>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</si>
  <si>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</si>
  <si>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</si>
  <si>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</si>
  <si>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</si>
  <si>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</si>
  <si>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</si>
  <si>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</si>
  <si>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</si>
  <si>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</si>
  <si>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</si>
  <si>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</si>
  <si>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</si>
  <si>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</si>
  <si>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</si>
  <si>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</si>
  <si>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</si>
  <si>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</si>
  <si>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</si>
  <si>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</si>
  <si>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</si>
  <si>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</si>
  <si>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</si>
  <si>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</si>
  <si>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</si>
  <si>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</si>
  <si>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</si>
  <si>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</si>
  <si>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</si>
  <si>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</si>
  <si>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</si>
  <si>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</si>
  <si>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</si>
  <si>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</si>
  <si>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</si>
  <si>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</si>
  <si>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</si>
  <si>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</si>
  <si>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</si>
  <si>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</si>
  <si>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</si>
  <si>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</si>
  <si>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</si>
  <si>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</si>
  <si>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</si>
  <si>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</si>
  <si>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</si>
  <si>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</si>
  <si>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</si>
  <si>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</si>
  <si>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</si>
  <si>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</si>
  <si>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</si>
  <si>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</si>
  <si>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</si>
  <si>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</si>
  <si>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</si>
  <si>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</si>
  <si>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</si>
  <si>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</si>
  <si>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</si>
  <si>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</si>
  <si>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</si>
  <si>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</si>
  <si>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</si>
  <si>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</si>
  <si>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</si>
  <si>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</si>
  <si>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</si>
  <si>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</si>
  <si>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</si>
  <si>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</si>
  <si>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</si>
  <si>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</si>
  <si>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</si>
  <si>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</si>
  <si>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</si>
  <si>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</si>
  <si>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</si>
  <si>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</si>
  <si>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</si>
  <si>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</si>
  <si>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</si>
  <si>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</si>
  <si>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</si>
  <si>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</si>
  <si>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</si>
  <si>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</si>
  <si>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</si>
  <si>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</si>
  <si>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</si>
  <si>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</si>
  <si>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</si>
  <si>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</si>
  <si>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</si>
  <si>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</si>
  <si>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</si>
  <si>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</si>
  <si>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</si>
  <si>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</si>
  <si>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</si>
  <si>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</si>
  <si>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</si>
  <si>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</si>
  <si>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</si>
  <si>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</si>
  <si>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</si>
  <si>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</si>
  <si>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</si>
  <si>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</si>
  <si>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</si>
  <si>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</si>
  <si>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</si>
  <si>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</si>
  <si>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</si>
  <si>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</si>
  <si>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</si>
  <si>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</si>
  <si>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</si>
  <si>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</si>
  <si>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</si>
  <si>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</si>
  <si>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</si>
  <si>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</si>
  <si>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</si>
  <si>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</si>
  <si>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</si>
  <si>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</si>
  <si>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</si>
  <si>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</si>
  <si>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</si>
  <si>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</si>
  <si>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</si>
  <si>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</si>
  <si>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</si>
  <si>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</si>
  <si>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</si>
  <si>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</si>
  <si>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</si>
  <si>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</si>
  <si>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</si>
  <si>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</si>
  <si>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</si>
  <si>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</si>
  <si>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</si>
  <si>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</si>
  <si>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</si>
  <si>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</si>
  <si>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</si>
  <si>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</si>
  <si>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</si>
  <si>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</si>
  <si>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</si>
  <si>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</si>
  <si>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</si>
  <si>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</si>
  <si>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</si>
  <si>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</si>
  <si>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</si>
  <si>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</si>
  <si>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</si>
  <si>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</si>
  <si>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</si>
  <si>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</si>
  <si>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</si>
  <si>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</si>
  <si>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</si>
  <si>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</si>
  <si>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</si>
  <si>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</si>
  <si>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</si>
  <si>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</si>
  <si>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</si>
  <si>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</si>
  <si>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</si>
  <si>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</si>
  <si>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</si>
  <si>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</si>
  <si>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</si>
  <si>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</si>
  <si>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</si>
  <si>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</si>
  <si>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</si>
  <si>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</si>
  <si>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</si>
  <si>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</si>
  <si>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</si>
  <si>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</si>
  <si>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</si>
  <si>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</si>
  <si>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</si>
  <si>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</si>
  <si>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</si>
  <si>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</si>
  <si>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</si>
  <si>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</si>
  <si>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</si>
  <si>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</si>
  <si>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</si>
  <si>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</si>
  <si>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</si>
  <si>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</si>
  <si>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</si>
  <si>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</si>
  <si>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</si>
  <si>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</si>
  <si>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</si>
  <si>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</si>
  <si>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</si>
  <si>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</si>
  <si>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</si>
  <si>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</si>
  <si>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</si>
  <si>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</si>
  <si>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</si>
  <si>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</si>
  <si>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</si>
  <si>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</si>
  <si>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</si>
  <si>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</si>
  <si>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</si>
  <si>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</si>
  <si>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</si>
  <si>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</si>
  <si>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</si>
  <si>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</si>
  <si>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</si>
  <si>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</si>
  <si>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</si>
  <si>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</si>
  <si>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</si>
  <si>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</si>
  <si>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</si>
  <si>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</si>
  <si>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</si>
  <si>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</si>
  <si>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</si>
  <si>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</si>
  <si>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</si>
  <si>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</si>
  <si>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</si>
  <si>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</si>
  <si>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</si>
  <si>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</si>
  <si>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</si>
  <si>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</si>
  <si>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</si>
  <si>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</si>
  <si>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</si>
  <si>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</si>
  <si>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</si>
  <si>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</si>
  <si>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</si>
  <si>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</si>
  <si>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</si>
  <si>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</si>
  <si>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</si>
  <si>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</si>
  <si>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</si>
  <si>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</si>
  <si>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</si>
  <si>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</si>
  <si>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</si>
  <si>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</si>
  <si>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</si>
  <si>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</si>
  <si>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</si>
  <si>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</si>
  <si>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</si>
  <si>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</si>
  <si>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</si>
  <si>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</si>
  <si>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</si>
  <si>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</si>
  <si>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</si>
  <si>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</si>
  <si>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</si>
  <si>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</si>
  <si>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</si>
  <si>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</si>
  <si>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</si>
  <si>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</si>
  <si>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</si>
  <si>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</si>
  <si>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</si>
  <si>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</si>
  <si>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</si>
  <si>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</si>
  <si>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</si>
  <si>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</si>
  <si>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</si>
  <si>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</si>
  <si>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</si>
  <si>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</si>
  <si>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</si>
  <si>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</si>
  <si>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</si>
  <si>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</si>
  <si>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</si>
  <si>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</si>
  <si>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</si>
  <si>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</si>
  <si>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</si>
  <si>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</si>
  <si>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</si>
  <si>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</si>
  <si>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</si>
  <si>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</si>
  <si>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</si>
  <si>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</si>
  <si>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</si>
  <si>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</si>
  <si>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</si>
  <si>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</si>
  <si>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</si>
  <si>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</si>
  <si>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</si>
  <si>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</si>
  <si>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</si>
  <si>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</si>
  <si>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</si>
  <si>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</si>
  <si>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</si>
  <si>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</si>
  <si>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</si>
  <si>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</si>
  <si>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</si>
  <si>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</si>
  <si>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</si>
  <si>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</si>
  <si>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</si>
  <si>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</si>
  <si>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</si>
  <si>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</si>
  <si>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</si>
  <si>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</si>
  <si>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</si>
  <si>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</si>
  <si>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</si>
  <si>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</si>
  <si>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</si>
  <si>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</si>
  <si>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</si>
  <si>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</si>
  <si>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</si>
  <si>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</si>
  <si>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</si>
  <si>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</si>
  <si>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</si>
  <si>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</si>
  <si>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</si>
  <si>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</si>
  <si>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</si>
  <si>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</si>
  <si>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</si>
  <si>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</si>
  <si>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</si>
  <si>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</si>
  <si>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</si>
  <si>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</si>
  <si>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</si>
  <si>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</si>
  <si>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</si>
  <si>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</si>
  <si>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</si>
  <si>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</si>
  <si>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</si>
  <si>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</si>
  <si>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</si>
  <si>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</si>
  <si>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</si>
  <si>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</si>
  <si>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</si>
  <si>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</si>
  <si>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</si>
  <si>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</si>
  <si>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</si>
  <si>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</si>
  <si>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</si>
  <si>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</si>
  <si>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</si>
  <si>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</si>
  <si>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</si>
  <si>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</si>
  <si>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</si>
  <si>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</si>
  <si>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</si>
  <si>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</si>
  <si>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</si>
  <si>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</si>
  <si>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</si>
  <si>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</si>
  <si>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</si>
  <si>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</si>
  <si>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</si>
  <si>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</si>
  <si>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</si>
  <si>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</si>
  <si>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</si>
  <si>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</si>
  <si>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</si>
  <si>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</si>
  <si>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</si>
  <si>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</si>
  <si>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</si>
  <si>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</si>
  <si>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</si>
  <si>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</si>
  <si>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</si>
  <si>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</si>
  <si>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</si>
  <si>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</si>
  <si>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</si>
  <si>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</si>
  <si>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</si>
  <si>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</si>
  <si>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</si>
  <si>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</si>
  <si>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</si>
  <si>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</si>
  <si>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</si>
  <si>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</si>
  <si>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</si>
  <si>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</si>
  <si>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</si>
  <si>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</si>
  <si>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</si>
  <si>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</si>
  <si>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</si>
  <si>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</si>
  <si>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</si>
  <si>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</si>
  <si>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</si>
  <si>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</si>
  <si>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</si>
  <si>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</si>
  <si>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</si>
  <si>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</si>
  <si>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</si>
  <si>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</si>
  <si>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</si>
  <si>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</si>
  <si>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</si>
  <si>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</si>
  <si>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</si>
  <si>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</si>
  <si>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</si>
  <si>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</si>
  <si>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</si>
  <si>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</si>
  <si>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</si>
  <si>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</si>
  <si>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</si>
  <si>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</si>
  <si>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</si>
  <si>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</si>
  <si>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</si>
  <si>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</si>
  <si>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</si>
  <si>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</si>
  <si>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</si>
  <si>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</si>
  <si>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</si>
  <si>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</si>
  <si>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</si>
  <si>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</si>
  <si>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</si>
  <si>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</si>
  <si>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</si>
  <si>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</si>
  <si>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</si>
  <si>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</si>
  <si>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</si>
  <si>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</si>
  <si>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</si>
  <si>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</si>
  <si>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</si>
  <si>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</si>
  <si>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</si>
  <si>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</si>
  <si>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</si>
  <si>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</si>
  <si>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</si>
  <si>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</si>
  <si>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</si>
  <si>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</si>
  <si>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</si>
  <si>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</si>
  <si>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</si>
  <si>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</si>
  <si>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</si>
  <si>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</si>
  <si>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</si>
  <si>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</si>
  <si>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</si>
  <si>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</si>
  <si>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</si>
  <si>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</si>
  <si>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</si>
  <si>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</si>
  <si>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</si>
  <si>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</si>
  <si>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</si>
  <si>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</si>
  <si>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</si>
  <si>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</si>
  <si>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</si>
  <si>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</si>
  <si>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</si>
  <si>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</si>
  <si>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</si>
  <si>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</si>
  <si>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</si>
  <si>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</si>
  <si>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</si>
  <si>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</si>
  <si>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</si>
  <si>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</si>
  <si>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</si>
  <si>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</si>
  <si>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</si>
  <si>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</si>
  <si>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</si>
  <si>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</si>
  <si>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</si>
  <si>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</si>
  <si>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</si>
  <si>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</si>
  <si>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</si>
  <si>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</si>
  <si>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</si>
  <si>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</si>
  <si>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</si>
  <si>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</si>
  <si>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</si>
  <si>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</si>
  <si>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</si>
  <si>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</si>
  <si>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</si>
  <si>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</si>
  <si>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</si>
  <si>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</si>
  <si>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</si>
  <si>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</si>
  <si>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</si>
  <si>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</si>
  <si>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</si>
  <si>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</si>
  <si>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</si>
  <si>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</si>
  <si>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</si>
  <si>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</si>
  <si>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</si>
  <si>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</si>
  <si>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</si>
  <si>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</si>
  <si>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</si>
  <si>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</si>
  <si>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</si>
  <si>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</si>
  <si>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</si>
  <si>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</si>
  <si>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</si>
  <si>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</si>
  <si>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</si>
  <si>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</si>
  <si>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</si>
  <si>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</si>
  <si>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</si>
  <si>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</si>
  <si>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</si>
  <si>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</si>
  <si>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</si>
  <si>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</si>
  <si>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</si>
  <si>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</si>
  <si>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</si>
  <si>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</si>
  <si>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</si>
  <si>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</si>
  <si>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</si>
  <si>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</si>
  <si>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</si>
  <si>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</si>
  <si>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</si>
  <si>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</si>
  <si>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</si>
  <si>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</si>
  <si>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</si>
  <si>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</si>
  <si>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</si>
  <si>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</si>
  <si>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</si>
  <si>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</si>
  <si>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</si>
  <si>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</si>
  <si>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</si>
  <si>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</si>
  <si>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</si>
  <si>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</si>
  <si>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</si>
  <si>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</si>
  <si>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</si>
  <si>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</si>
  <si>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</si>
  <si>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</si>
  <si>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</si>
  <si>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</si>
  <si>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</si>
  <si>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</si>
  <si>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</si>
  <si>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</si>
  <si>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</si>
  <si>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</si>
  <si>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</si>
  <si>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</si>
  <si>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</si>
  <si>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</si>
  <si>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</si>
  <si>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</si>
  <si>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</si>
  <si>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</si>
  <si>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</si>
  <si>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</si>
  <si>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</si>
  <si>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</si>
  <si>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</si>
  <si>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</si>
  <si>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</si>
  <si>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</si>
  <si>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</si>
  <si>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</si>
  <si>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</si>
  <si>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</si>
  <si>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</si>
  <si>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</si>
  <si>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</si>
  <si>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</si>
  <si>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</si>
  <si>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</si>
  <si>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</si>
  <si>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</si>
  <si>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</si>
  <si>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</si>
  <si>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</si>
  <si>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</si>
  <si>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</si>
  <si>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</si>
  <si>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</si>
  <si>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</si>
  <si>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</si>
  <si>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</si>
  <si>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</si>
  <si>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</si>
  <si>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</si>
  <si>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</si>
  <si>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</si>
  <si>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</si>
  <si>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</si>
  <si>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</si>
  <si>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</si>
  <si>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</si>
  <si>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</si>
  <si>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</si>
  <si>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</si>
  <si>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</si>
  <si>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</si>
  <si>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</si>
  <si>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</si>
  <si>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</si>
  <si>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</si>
  <si>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</si>
  <si>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</si>
  <si>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</si>
  <si>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</si>
  <si>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</si>
  <si>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</si>
  <si>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</si>
  <si>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</si>
  <si>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</si>
  <si>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</si>
  <si>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</si>
  <si>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</si>
  <si>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</si>
  <si>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</si>
  <si>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</si>
  <si>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</si>
  <si>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</si>
  <si>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</si>
  <si>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</si>
  <si>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</si>
  <si>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</si>
  <si>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</si>
  <si>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</si>
  <si>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</si>
  <si>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</si>
  <si>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</si>
  <si>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</si>
  <si>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</si>
  <si>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</si>
  <si>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</si>
  <si>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</si>
  <si>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</si>
  <si>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</si>
  <si>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</si>
  <si>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</si>
  <si>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</si>
  <si>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</si>
  <si>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</si>
  <si>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</si>
  <si>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</si>
  <si>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</si>
  <si>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</si>
  <si>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</si>
  <si>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</si>
  <si>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</si>
  <si>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</si>
  <si>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</si>
  <si>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</si>
  <si>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</si>
  <si>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</si>
  <si>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</si>
  <si>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</si>
  <si>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</si>
  <si>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</si>
  <si>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</si>
  <si>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</si>
  <si>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</si>
  <si>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</si>
  <si>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</si>
  <si>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</si>
  <si>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</si>
  <si>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</si>
  <si>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</si>
  <si>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</si>
  <si>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</si>
  <si>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</si>
  <si>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</si>
  <si>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</si>
  <si>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</si>
  <si>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</si>
  <si>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</si>
  <si>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</si>
  <si>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</si>
  <si>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</si>
  <si>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</si>
  <si>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</si>
  <si>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</si>
  <si>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</si>
  <si>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</si>
  <si>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</si>
  <si>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</si>
  <si>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</si>
  <si>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</si>
  <si>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</si>
  <si>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</si>
  <si>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</si>
  <si>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</si>
  <si>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</si>
  <si>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</si>
  <si>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</si>
  <si>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</si>
  <si>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</si>
  <si>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</si>
  <si>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</si>
  <si>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</si>
  <si>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</si>
  <si>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</si>
  <si>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</si>
  <si>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</si>
  <si>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</si>
  <si>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</si>
  <si>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</si>
  <si>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</si>
  <si>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</si>
  <si>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</si>
  <si>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</si>
  <si>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</si>
  <si>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</si>
  <si>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</si>
  <si>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</si>
  <si>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</si>
  <si>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</si>
  <si>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</si>
  <si>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</si>
  <si>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</si>
  <si>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</si>
  <si>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</si>
  <si>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</si>
  <si>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</si>
  <si>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</si>
  <si>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</si>
  <si>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</si>
  <si>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</si>
  <si>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</si>
  <si>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</si>
  <si>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</si>
  <si>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</si>
  <si>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</si>
  <si>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</si>
  <si>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</si>
  <si>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</si>
  <si>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</si>
  <si>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</si>
  <si>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</si>
  <si>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</si>
  <si>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</si>
  <si>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</si>
  <si>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</si>
  <si>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</si>
  <si>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</si>
  <si>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</si>
  <si>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</si>
  <si>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</si>
  <si>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</si>
  <si>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</si>
  <si>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</si>
  <si>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</si>
  <si>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</si>
  <si>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</si>
  <si>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</si>
  <si>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</si>
  <si>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</si>
  <si>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</si>
  <si>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</si>
  <si>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</si>
  <si>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</si>
  <si>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</si>
  <si>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</si>
  <si>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</si>
  <si>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</si>
  <si>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</si>
  <si>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</si>
  <si>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</si>
  <si>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</si>
  <si>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</si>
  <si>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</si>
  <si>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</si>
  <si>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</si>
  <si>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</si>
  <si>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</si>
  <si>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</si>
  <si>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</si>
  <si>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</si>
  <si>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</si>
  <si>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</si>
  <si>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</si>
  <si>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</si>
  <si>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</si>
  <si>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</si>
  <si>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</si>
  <si>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</si>
  <si>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</si>
  <si>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</si>
  <si>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</si>
  <si>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</si>
  <si>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</si>
  <si>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</si>
  <si>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</si>
  <si>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</si>
  <si>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</si>
  <si>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</si>
  <si>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</si>
  <si>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</si>
  <si>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</si>
  <si>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</si>
  <si>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</si>
  <si>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</si>
  <si>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</si>
  <si>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</si>
  <si>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</si>
  <si>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</si>
  <si>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</si>
  <si>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</si>
  <si>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</si>
  <si>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</si>
  <si>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</si>
  <si>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</si>
  <si>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</si>
  <si>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</si>
  <si>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</si>
  <si>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</si>
  <si>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</si>
  <si>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</si>
  <si>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</si>
  <si>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</si>
  <si>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</si>
  <si>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</si>
  <si>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</si>
  <si>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</si>
  <si>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</si>
  <si>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</si>
  <si>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</si>
  <si>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</si>
  <si>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</si>
  <si>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</si>
  <si>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</si>
  <si>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</si>
  <si>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</si>
  <si>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</si>
  <si>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</si>
  <si>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</si>
  <si>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</si>
  <si>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</si>
  <si>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</si>
  <si>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</si>
  <si>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</si>
  <si>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</si>
  <si>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</si>
  <si>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</si>
  <si>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</si>
  <si>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</si>
  <si>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</si>
  <si>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</si>
  <si>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</si>
  <si>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</si>
  <si>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</si>
  <si>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</si>
  <si>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</si>
  <si>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</si>
  <si>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</si>
  <si>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</si>
  <si>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</si>
  <si>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</si>
  <si>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</si>
  <si>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</si>
  <si>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</si>
  <si>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</si>
  <si>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</si>
  <si>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</si>
  <si>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</si>
  <si>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</si>
  <si>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</si>
  <si>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</si>
  <si>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</si>
  <si>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</si>
  <si>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</si>
  <si>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</si>
  <si>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</si>
  <si>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</si>
  <si>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</si>
  <si>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</si>
  <si>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</si>
  <si>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</si>
  <si>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</si>
  <si>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</si>
  <si>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</si>
  <si>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</si>
  <si>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</si>
  <si>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</si>
  <si>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</si>
  <si>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</si>
  <si>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</si>
  <si>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</si>
  <si>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</si>
  <si>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</si>
  <si>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</si>
  <si>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</si>
  <si>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</si>
  <si>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</si>
  <si>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</si>
  <si>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</si>
  <si>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</si>
  <si>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</si>
  <si>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</si>
  <si>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</si>
  <si>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</si>
  <si>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</si>
  <si>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</si>
  <si>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</si>
  <si>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</si>
  <si>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</si>
  <si>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</si>
  <si>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</si>
  <si>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</si>
  <si>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</si>
  <si>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</si>
  <si>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</si>
  <si>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</si>
  <si>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</si>
  <si>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</si>
  <si>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</si>
  <si>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</si>
  <si>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</si>
  <si>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</si>
  <si>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</si>
  <si>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</si>
  <si>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</si>
  <si>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</si>
  <si>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</si>
  <si>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</si>
  <si>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</si>
  <si>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</si>
  <si>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</si>
  <si>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</si>
  <si>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</si>
  <si>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</si>
  <si>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</si>
  <si>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</si>
  <si>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</si>
  <si>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</si>
  <si>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</si>
  <si>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</si>
  <si>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</si>
  <si>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</si>
  <si>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</si>
  <si>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</si>
  <si>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</si>
  <si>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</si>
  <si>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</si>
  <si>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</si>
  <si>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</si>
  <si>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</si>
  <si>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</si>
  <si>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</si>
  <si>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</si>
  <si>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</si>
  <si>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</si>
  <si>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</si>
  <si>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</si>
  <si>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</si>
  <si>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</si>
  <si>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</si>
  <si>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</si>
  <si>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</si>
  <si>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</si>
  <si>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</si>
  <si>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</si>
  <si>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</si>
  <si>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</si>
  <si>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</si>
  <si>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</si>
  <si>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</si>
  <si>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</si>
  <si>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</si>
  <si>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</si>
  <si>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</si>
  <si>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</si>
  <si>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</si>
  <si>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</si>
  <si>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</si>
  <si>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</si>
  <si>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</si>
  <si>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</si>
  <si>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</si>
  <si>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</si>
  <si>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</si>
  <si>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</si>
  <si>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</si>
  <si>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</si>
  <si>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</si>
  <si>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</si>
  <si>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</si>
  <si>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</si>
  <si>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</si>
  <si>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</si>
  <si>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</si>
  <si>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</si>
  <si>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</si>
  <si>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</si>
  <si>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</si>
  <si>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</si>
  <si>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</si>
  <si>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</si>
  <si>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</si>
  <si>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</si>
  <si>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</si>
  <si>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</si>
  <si>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</si>
  <si>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</si>
  <si>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</si>
  <si>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</si>
  <si>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</si>
  <si>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</si>
  <si>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</si>
  <si>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</si>
  <si>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</si>
  <si>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</si>
  <si>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</si>
  <si>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</si>
  <si>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</si>
  <si>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</si>
  <si>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</si>
  <si>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</si>
  <si>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</si>
  <si>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</si>
  <si>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</si>
  <si>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</si>
  <si>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</si>
  <si>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</si>
  <si>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</si>
  <si>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</si>
  <si>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</si>
  <si>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</si>
  <si>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</si>
  <si>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</si>
  <si>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</si>
  <si>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</si>
  <si>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</si>
  <si>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</si>
  <si>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</si>
  <si>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</si>
  <si>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</si>
  <si>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</si>
  <si>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</si>
  <si>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</si>
  <si>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</si>
  <si>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</si>
  <si>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</si>
  <si>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</si>
  <si>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</si>
  <si>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</si>
  <si>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</si>
  <si>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</si>
  <si>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</si>
  <si>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</si>
  <si>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</si>
  <si>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</si>
  <si>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</si>
  <si>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</si>
  <si>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</si>
  <si>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</si>
  <si>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</si>
  <si>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</si>
  <si>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</si>
  <si>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</si>
  <si>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</si>
  <si>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</si>
  <si>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</si>
  <si>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</si>
  <si>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</si>
  <si>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</si>
  <si>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</si>
  <si>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</si>
  <si>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</si>
  <si>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</si>
  <si>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</si>
  <si>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</si>
  <si>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</si>
  <si>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</si>
  <si>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</si>
  <si>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</si>
  <si>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</si>
  <si>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</si>
  <si>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</si>
  <si>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</si>
  <si>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</si>
  <si>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</si>
  <si>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</si>
  <si>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</si>
  <si>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</si>
  <si>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</si>
  <si>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</si>
  <si>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</si>
  <si>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</si>
  <si>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</si>
  <si>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</si>
  <si>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</si>
  <si>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</si>
  <si>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</si>
  <si>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</si>
  <si>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</si>
  <si>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</si>
  <si>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</si>
  <si>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</si>
  <si>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</si>
  <si>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</si>
  <si>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</si>
  <si>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</si>
  <si>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</si>
  <si>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</si>
  <si>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</si>
  <si>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</si>
  <si>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</si>
  <si>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</si>
  <si>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</si>
  <si>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</si>
  <si>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</si>
  <si>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</si>
  <si>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</si>
  <si>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</si>
  <si>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</si>
  <si>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</si>
  <si>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</si>
  <si>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</si>
  <si>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</si>
  <si>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</si>
  <si>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</si>
  <si>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</si>
  <si>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</si>
  <si>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</si>
  <si>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</si>
  <si>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</si>
  <si>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</si>
  <si>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</si>
  <si>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</si>
  <si>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</si>
  <si>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</si>
  <si>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</si>
  <si>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</si>
  <si>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</si>
  <si>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</si>
  <si>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</si>
  <si>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</si>
  <si>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</si>
  <si>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</si>
  <si>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</si>
  <si>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</si>
  <si>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</si>
  <si>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</si>
  <si>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</si>
  <si>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</si>
  <si>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</si>
  <si>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</si>
  <si>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</si>
  <si>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</si>
  <si>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</si>
  <si>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</si>
  <si>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</si>
  <si>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</si>
  <si>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</si>
  <si>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</si>
  <si>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</si>
  <si>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</si>
  <si>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</si>
  <si>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</si>
  <si>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</si>
  <si>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</si>
  <si>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</si>
  <si>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</si>
  <si>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</si>
  <si>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</si>
  <si>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</si>
  <si>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</si>
  <si>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</si>
  <si>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</si>
  <si>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</si>
  <si>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</si>
  <si>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</si>
  <si>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</si>
  <si>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</si>
  <si>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</si>
  <si>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</si>
  <si>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</si>
  <si>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</si>
  <si>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</si>
  <si>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</si>
  <si>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</si>
  <si>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</si>
  <si>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</si>
  <si>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</si>
  <si>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</si>
  <si>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</si>
  <si>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</si>
  <si>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</si>
  <si>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</si>
  <si>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</si>
  <si>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</si>
  <si>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</si>
  <si>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</si>
  <si>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</si>
  <si>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</si>
  <si>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</si>
  <si>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</si>
  <si>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</si>
  <si>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</si>
  <si>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</si>
  <si>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</si>
  <si>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</si>
  <si>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</si>
  <si>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</si>
  <si>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</si>
  <si>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</si>
  <si>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</si>
  <si>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</si>
  <si>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</si>
  <si>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</si>
  <si>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</si>
  <si>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</si>
  <si>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</si>
  <si>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</si>
  <si>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</si>
  <si>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</si>
  <si>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</si>
  <si>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</si>
  <si>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</si>
  <si>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</si>
  <si>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</si>
  <si>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</si>
  <si>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</si>
  <si>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</si>
  <si>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</si>
  <si>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</si>
  <si>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</si>
  <si>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</si>
  <si>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</si>
  <si>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</si>
  <si>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</si>
  <si>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</si>
  <si>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</si>
  <si>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</si>
  <si>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</si>
  <si>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</si>
  <si>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</si>
  <si>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</si>
  <si>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</si>
  <si>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</si>
  <si>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</si>
  <si>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</si>
  <si>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</si>
  <si>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</si>
  <si>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</si>
  <si>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</si>
  <si>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</si>
  <si>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</si>
  <si>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</si>
  <si>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</si>
  <si>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</si>
  <si>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</si>
  <si>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</si>
  <si>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</si>
  <si>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</si>
  <si>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</si>
  <si>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</si>
  <si>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</si>
  <si>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</si>
  <si>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</si>
  <si>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</si>
  <si>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</si>
  <si>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</si>
  <si>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</si>
  <si>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</si>
  <si>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</si>
  <si>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</si>
  <si>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</si>
  <si>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</si>
  <si>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</si>
  <si>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</si>
  <si>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</si>
  <si>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</si>
  <si>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</si>
  <si>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</si>
  <si>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</si>
  <si>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</si>
  <si>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</si>
  <si>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</si>
  <si>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</si>
  <si>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</si>
  <si>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</si>
  <si>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</si>
  <si>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</si>
  <si>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</si>
  <si>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</si>
  <si>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</si>
  <si>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</si>
  <si>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</si>
  <si>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</si>
  <si>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</si>
  <si>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</si>
  <si>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</si>
  <si>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</si>
  <si>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</si>
  <si>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</si>
  <si>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</si>
  <si>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</si>
  <si>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</si>
  <si>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</si>
  <si>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</si>
  <si>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</si>
  <si>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</si>
  <si>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</si>
  <si>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</si>
  <si>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</si>
  <si>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</si>
  <si>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</si>
  <si>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</si>
  <si>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</si>
  <si>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</si>
  <si>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</si>
  <si>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</si>
  <si>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</si>
  <si>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</si>
  <si>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</si>
  <si>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</si>
  <si>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</si>
  <si>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</si>
  <si>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</si>
  <si>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</si>
  <si>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</si>
  <si>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</si>
  <si>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</si>
  <si>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</si>
  <si>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</si>
  <si>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</si>
  <si>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</si>
  <si>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</si>
  <si>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</si>
  <si>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</si>
  <si>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</si>
  <si>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</si>
  <si>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</si>
  <si>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</si>
  <si>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</si>
  <si>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</si>
  <si>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</si>
  <si>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</si>
  <si>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</si>
  <si>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</si>
  <si>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</si>
  <si>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</si>
  <si>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</si>
  <si>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</si>
  <si>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</si>
  <si>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</si>
  <si>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</si>
  <si>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</si>
  <si>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</si>
  <si>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</si>
  <si>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</si>
  <si>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</si>
  <si>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</si>
  <si>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</si>
  <si>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</si>
  <si>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</si>
  <si>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</si>
  <si>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</si>
  <si>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</si>
  <si>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</si>
  <si>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</si>
  <si>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</si>
  <si>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</si>
  <si>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</si>
  <si>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</si>
  <si>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</si>
  <si>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</si>
  <si>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</si>
  <si>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</si>
  <si>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</si>
  <si>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</si>
  <si>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</si>
  <si>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</si>
  <si>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</si>
  <si>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</si>
  <si>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</si>
  <si>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</si>
  <si>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</si>
  <si>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</si>
  <si>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</si>
  <si>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</si>
  <si>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</si>
  <si>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</si>
  <si>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</si>
  <si>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</si>
  <si>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</si>
  <si>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</si>
  <si>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</si>
  <si>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</si>
  <si>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</si>
  <si>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</si>
  <si>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</si>
  <si>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</si>
  <si>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</si>
  <si>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</si>
  <si>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</si>
  <si>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</si>
  <si>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</si>
  <si>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</si>
  <si>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</si>
  <si>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</si>
  <si>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</si>
  <si>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</si>
  <si>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</si>
  <si>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</si>
  <si>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</si>
  <si>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</si>
  <si>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</si>
  <si>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</si>
  <si>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</si>
  <si>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</si>
  <si>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</si>
  <si>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</si>
  <si>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</si>
  <si>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</si>
  <si>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</si>
  <si>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</si>
  <si>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</si>
  <si>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</si>
  <si>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</si>
  <si>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</si>
  <si>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</si>
  <si>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</si>
  <si>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</si>
  <si>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</si>
  <si>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</si>
  <si>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</si>
  <si>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</si>
  <si>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</si>
  <si>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</si>
  <si>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</si>
  <si>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</si>
  <si>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</si>
  <si>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</si>
  <si>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</si>
  <si>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</si>
  <si>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</si>
  <si>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</si>
  <si>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</si>
  <si>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</si>
  <si>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</si>
  <si>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</si>
  <si>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</si>
  <si>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</si>
  <si>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</si>
  <si>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</si>
  <si>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</si>
  <si>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</si>
  <si>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</si>
  <si>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</si>
  <si>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</si>
  <si>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</si>
  <si>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</si>
  <si>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</si>
  <si>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</si>
  <si>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</si>
  <si>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</si>
  <si>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</si>
  <si>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</si>
  <si>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</si>
  <si>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</si>
  <si>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</si>
  <si>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</si>
  <si>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</si>
  <si>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</si>
  <si>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</si>
  <si>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</si>
  <si>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</si>
  <si>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</si>
  <si>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</si>
  <si>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</si>
  <si>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</si>
  <si>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</si>
  <si>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</si>
  <si>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</si>
  <si>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</si>
  <si>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</si>
  <si>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</si>
  <si>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</si>
  <si>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</si>
  <si>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</si>
  <si>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</si>
  <si>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</si>
  <si>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</si>
  <si>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</si>
  <si>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</si>
  <si>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</si>
  <si>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</si>
  <si>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</si>
  <si>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</si>
  <si>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</si>
  <si>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</si>
  <si>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</si>
  <si>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</si>
  <si>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</si>
  <si>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</si>
  <si>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</si>
  <si>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</si>
  <si>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</si>
  <si>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</si>
  <si>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</si>
  <si>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</si>
  <si>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</si>
  <si>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</si>
  <si>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</si>
  <si>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</si>
  <si>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</si>
  <si>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</si>
  <si>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</si>
  <si>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</si>
  <si>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</si>
  <si>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</si>
  <si>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</si>
  <si>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</si>
  <si>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</si>
  <si>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</si>
  <si>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</si>
  <si>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</si>
  <si>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</si>
  <si>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</si>
  <si>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</si>
  <si>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</si>
  <si>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</si>
  <si>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</si>
  <si>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</si>
  <si>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</si>
  <si>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</si>
  <si>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</si>
  <si>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</si>
  <si>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</si>
  <si>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</si>
  <si>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</si>
  <si>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</si>
  <si>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</si>
  <si>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</si>
  <si>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</si>
  <si>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</si>
  <si>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</si>
  <si>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</si>
  <si>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</si>
  <si>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</si>
  <si>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</si>
  <si>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</si>
  <si>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</si>
  <si>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</si>
  <si>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</si>
  <si>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</si>
  <si>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</si>
  <si>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</si>
  <si>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</si>
  <si>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</si>
  <si>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</si>
  <si>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</si>
  <si>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</si>
  <si>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</si>
  <si>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</si>
  <si>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</si>
  <si>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</si>
  <si>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</si>
  <si>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</si>
  <si>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</si>
  <si>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</si>
  <si>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</si>
  <si>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</si>
  <si>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</si>
  <si>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</si>
  <si>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</si>
  <si>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</si>
  <si>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</si>
  <si>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</si>
  <si>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</si>
  <si>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</si>
  <si>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</si>
  <si>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</si>
  <si>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</si>
  <si>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</si>
  <si>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</si>
  <si>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</si>
  <si>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</si>
  <si>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</si>
  <si>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</si>
  <si>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</si>
  <si>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</si>
  <si>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</si>
  <si>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</si>
  <si>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</si>
  <si>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</si>
  <si>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</si>
  <si>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</si>
  <si>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</si>
  <si>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</si>
  <si>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</si>
  <si>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</si>
  <si>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</si>
  <si>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</si>
  <si>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</si>
  <si>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</si>
  <si>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</si>
  <si>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</si>
  <si>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</si>
  <si>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</si>
  <si>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</si>
  <si>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</si>
  <si>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</si>
  <si>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</si>
  <si>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</si>
  <si>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</si>
  <si>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</si>
  <si>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</si>
  <si>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</si>
  <si>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</si>
  <si>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</si>
  <si>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</si>
  <si>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</si>
  <si>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</si>
  <si>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</si>
  <si>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</si>
  <si>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</si>
  <si>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</si>
  <si>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</si>
  <si>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</si>
  <si>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</si>
  <si>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</si>
  <si>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</si>
  <si>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</si>
  <si>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</si>
  <si>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</si>
  <si>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</si>
  <si>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</si>
  <si>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</si>
  <si>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</si>
  <si>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</si>
  <si>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</si>
  <si>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</si>
  <si>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</si>
  <si>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</si>
  <si>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</si>
  <si>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</si>
  <si>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</si>
  <si>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</si>
  <si>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</si>
  <si>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</si>
  <si>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</si>
  <si>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</si>
  <si>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</si>
  <si>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</si>
  <si>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</si>
  <si>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</si>
  <si>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</si>
  <si>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</si>
  <si>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</si>
  <si>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</si>
  <si>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</si>
  <si>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</si>
  <si>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</si>
  <si>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</si>
  <si>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</si>
  <si>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</si>
  <si>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</si>
  <si>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</si>
  <si>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</si>
  <si>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</si>
  <si>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</si>
  <si>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</si>
  <si>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</si>
  <si>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</si>
  <si>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</si>
  <si>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</si>
  <si>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</si>
  <si>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</si>
  <si>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</si>
  <si>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</si>
  <si>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</si>
  <si>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</si>
  <si>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</si>
  <si>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</si>
  <si>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</si>
  <si>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</si>
  <si>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</si>
  <si>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</si>
  <si>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</si>
  <si>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</si>
  <si>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</si>
  <si>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</si>
  <si>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</si>
  <si>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</si>
  <si>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</si>
  <si>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</si>
  <si>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</si>
  <si>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</si>
  <si>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</si>
  <si>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</si>
  <si>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</si>
  <si>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</si>
  <si>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</si>
  <si>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</si>
  <si>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</si>
  <si>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</si>
  <si>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</si>
  <si>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</si>
  <si>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</si>
  <si>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</si>
  <si>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</si>
  <si>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</si>
  <si>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</si>
  <si>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</si>
  <si>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</si>
  <si>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</si>
  <si>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</si>
  <si>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</si>
  <si>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</si>
  <si>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</si>
  <si>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</si>
  <si>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</si>
  <si>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</si>
  <si>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</si>
  <si>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</si>
  <si>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</si>
  <si>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</si>
  <si>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</si>
  <si>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</si>
  <si>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</si>
  <si>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</si>
  <si>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</si>
  <si>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</si>
  <si>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</si>
  <si>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</si>
  <si>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</si>
  <si>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</si>
  <si>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</si>
  <si>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</si>
  <si>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</si>
  <si>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</si>
  <si>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</si>
  <si>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</si>
  <si>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</si>
  <si>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</si>
  <si>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</si>
  <si>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</si>
  <si>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</si>
  <si>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</si>
  <si>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</si>
  <si>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</si>
  <si>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</si>
  <si>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</si>
  <si>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</si>
  <si>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</si>
  <si>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</si>
  <si>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</si>
  <si>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</si>
  <si>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</si>
  <si>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</si>
  <si>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</si>
  <si>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</si>
  <si>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</si>
  <si>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</si>
  <si>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</si>
  <si>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</si>
  <si>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</si>
  <si>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</si>
  <si>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</si>
  <si>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</si>
  <si>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</si>
  <si>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</si>
  <si>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</si>
  <si>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</si>
  <si>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</si>
  <si>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</si>
  <si>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</si>
  <si>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</si>
  <si>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</si>
  <si>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</si>
  <si>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</si>
  <si>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</si>
  <si>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</si>
  <si>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</si>
  <si>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</si>
  <si>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</si>
  <si>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</si>
  <si>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</si>
  <si>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</si>
  <si>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</si>
  <si>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</si>
  <si>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</si>
  <si>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</si>
  <si>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</si>
  <si>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</si>
  <si>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</si>
  <si>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</si>
  <si>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</si>
  <si>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</si>
  <si>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</si>
  <si>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</si>
  <si>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</si>
  <si>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</si>
  <si>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</si>
  <si>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</si>
  <si>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</si>
  <si>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</si>
  <si>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</si>
  <si>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</si>
  <si>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</si>
  <si>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</si>
  <si>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</si>
  <si>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</si>
  <si>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</si>
  <si>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</si>
  <si>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</si>
  <si>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</si>
  <si>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</si>
  <si>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</si>
  <si>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</si>
  <si>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</si>
  <si>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</si>
  <si>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</si>
  <si>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</si>
  <si>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</si>
  <si>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</si>
  <si>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</si>
  <si>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</si>
  <si>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</si>
  <si>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</si>
  <si>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</si>
  <si>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</si>
  <si>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</si>
  <si>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</si>
  <si>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</si>
  <si>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</si>
  <si>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</si>
  <si>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</si>
  <si>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</si>
  <si>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</si>
  <si>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</si>
  <si>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</si>
  <si>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</si>
  <si>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</si>
  <si>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</si>
  <si>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</si>
  <si>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</si>
  <si>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</si>
  <si>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</si>
  <si>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</si>
  <si>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</si>
  <si>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</si>
  <si>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</si>
  <si>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</si>
  <si>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</si>
  <si>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</si>
  <si>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</si>
  <si>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</si>
  <si>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</si>
  <si>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</si>
  <si>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</si>
  <si>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</si>
  <si>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</si>
  <si>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</si>
  <si>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</si>
  <si>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</si>
  <si>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</si>
  <si>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</si>
  <si>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</si>
  <si>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</si>
  <si>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</si>
  <si>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</si>
  <si>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</si>
  <si>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</si>
  <si>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</si>
  <si>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</si>
  <si>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</si>
  <si>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</si>
  <si>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</si>
  <si>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</si>
  <si>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</si>
  <si>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</si>
  <si>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</si>
  <si>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</si>
  <si>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</si>
  <si>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</si>
  <si>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</si>
  <si>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</si>
  <si>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</si>
  <si>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</si>
  <si>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</si>
  <si>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</si>
  <si>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</si>
  <si>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</si>
  <si>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</si>
  <si>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</si>
  <si>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</si>
  <si>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</si>
  <si>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</si>
  <si>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</si>
  <si>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</si>
  <si>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</si>
  <si>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</si>
  <si>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</si>
  <si>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</si>
  <si>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</si>
  <si>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</si>
  <si>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</si>
  <si>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</si>
  <si>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</si>
  <si>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</si>
  <si>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</si>
  <si>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</si>
  <si>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</si>
  <si>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</si>
  <si>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</si>
  <si>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</si>
  <si>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</si>
  <si>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</si>
  <si>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</si>
  <si>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</si>
  <si>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</si>
  <si>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</si>
  <si>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</si>
  <si>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</si>
  <si>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</si>
  <si>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</si>
  <si>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</si>
  <si>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</si>
  <si>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</si>
  <si>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</si>
  <si>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</si>
  <si>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</si>
  <si>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</si>
  <si>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</si>
  <si>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</si>
  <si>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</si>
  <si>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</si>
  <si>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</si>
  <si>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</si>
  <si>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</si>
  <si>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</si>
  <si>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</si>
  <si>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</si>
  <si>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</si>
  <si>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</si>
  <si>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</si>
  <si>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</si>
  <si>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</si>
  <si>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</si>
  <si>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</si>
  <si>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</si>
  <si>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</si>
  <si>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</si>
  <si>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</si>
  <si>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</si>
  <si>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</si>
  <si>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</si>
  <si>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</si>
  <si>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</si>
  <si>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</si>
  <si>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</si>
  <si>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</si>
  <si>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</si>
  <si>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</si>
  <si>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</si>
  <si>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</si>
  <si>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</si>
  <si>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</si>
  <si>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</si>
  <si>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</si>
  <si>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</si>
  <si>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</si>
  <si>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</si>
  <si>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</si>
  <si>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</si>
  <si>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</si>
  <si>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</si>
  <si>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</si>
  <si>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</si>
  <si>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</si>
  <si>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</si>
  <si>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</si>
  <si>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</si>
  <si>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</si>
  <si>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</si>
  <si>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</si>
  <si>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</si>
  <si>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</si>
  <si>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</si>
  <si>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</si>
  <si>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</si>
  <si>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</si>
  <si>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</si>
  <si>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</si>
  <si>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</si>
  <si>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</si>
  <si>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</si>
  <si>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</si>
  <si>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</si>
  <si>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</si>
  <si>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</si>
  <si>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</si>
  <si>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</si>
  <si>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</si>
  <si>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</si>
  <si>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</si>
  <si>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</si>
  <si>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</si>
  <si>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</si>
  <si>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</si>
  <si>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</si>
  <si>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</si>
  <si>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</si>
  <si>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</si>
  <si>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</si>
  <si>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</si>
  <si>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</si>
  <si>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</si>
  <si>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</si>
  <si>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</si>
  <si>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</si>
  <si>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</si>
  <si>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</si>
  <si>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</si>
  <si>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</si>
  <si>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</si>
  <si>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</si>
  <si>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</si>
  <si>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</si>
  <si>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</si>
  <si>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</si>
  <si>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</si>
  <si>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</si>
  <si>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</si>
  <si>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</si>
  <si>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</si>
  <si>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</si>
  <si>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</si>
  <si>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</si>
  <si>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</si>
  <si>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</si>
  <si>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</si>
  <si>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</si>
  <si>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</si>
  <si>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</si>
  <si>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</si>
  <si>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</si>
  <si>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</si>
  <si>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</si>
  <si>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</si>
  <si>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</si>
  <si>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</si>
  <si>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</si>
  <si>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</si>
  <si>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</si>
  <si>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</si>
  <si>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</si>
  <si>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</si>
  <si>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</si>
  <si>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</si>
  <si>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</si>
  <si>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</si>
  <si>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</si>
  <si>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</si>
  <si>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</si>
  <si>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</si>
  <si>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</si>
  <si>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</si>
  <si>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</si>
  <si>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</si>
  <si>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</si>
  <si>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</si>
  <si>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</si>
  <si>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</si>
  <si>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</si>
  <si>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</si>
  <si>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</si>
  <si>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</si>
  <si>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</si>
  <si>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</si>
  <si>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</si>
  <si>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</si>
  <si>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</si>
  <si>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</si>
  <si>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</si>
  <si>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</si>
  <si>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</si>
  <si>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</si>
  <si>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</si>
  <si>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</si>
  <si>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</si>
  <si>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</si>
  <si>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</si>
  <si>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</si>
  <si>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</si>
  <si>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</si>
  <si>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</si>
  <si>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</si>
  <si>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</si>
  <si>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</si>
  <si>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</si>
  <si>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</si>
  <si>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</si>
  <si>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</si>
  <si>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</si>
  <si>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</si>
  <si>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</si>
  <si>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</si>
  <si>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</si>
  <si>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</si>
  <si>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</si>
  <si>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</si>
  <si>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</si>
  <si>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</si>
  <si>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</si>
  <si>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</si>
  <si>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</si>
  <si>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</si>
  <si>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</si>
  <si>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</si>
  <si>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</si>
  <si>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</si>
  <si>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</si>
  <si>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</si>
  <si>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</si>
  <si>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</si>
  <si>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</si>
  <si>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</si>
  <si>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</si>
  <si>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</si>
  <si>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</si>
  <si>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</si>
  <si>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</si>
  <si>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</si>
  <si>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</si>
  <si>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</si>
  <si>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</si>
  <si>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</si>
  <si>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</si>
  <si>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</si>
  <si>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</si>
  <si>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</si>
  <si>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</si>
  <si>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</si>
  <si>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</si>
  <si>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</si>
  <si>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</si>
  <si>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</si>
  <si>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</si>
  <si>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</si>
  <si>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</si>
  <si>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</si>
  <si>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</si>
  <si>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</si>
  <si>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</si>
  <si>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</si>
  <si>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</si>
  <si>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</si>
  <si>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</si>
  <si>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</si>
  <si>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</si>
  <si>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</si>
  <si>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</si>
  <si>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</si>
  <si>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</si>
  <si>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</si>
  <si>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</si>
  <si>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</si>
  <si>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</si>
  <si>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</si>
  <si>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</si>
  <si>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</si>
  <si>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</si>
  <si>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</si>
  <si>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</si>
  <si>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</si>
  <si>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</si>
  <si>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</si>
  <si>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</si>
  <si>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</si>
  <si>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</si>
  <si>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</si>
  <si>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</si>
  <si>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</si>
  <si>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</si>
  <si>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</si>
  <si>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</si>
  <si>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</si>
  <si>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</si>
  <si>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</si>
  <si>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</si>
  <si>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</si>
  <si>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</si>
  <si>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</si>
  <si>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</si>
  <si>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</si>
  <si>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</si>
  <si>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</si>
  <si>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</si>
  <si>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</si>
  <si>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</si>
  <si>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</si>
  <si>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</si>
  <si>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</si>
  <si>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</si>
  <si>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</si>
  <si>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</si>
  <si>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</si>
  <si>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</si>
  <si>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</si>
  <si>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</si>
  <si>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</si>
  <si>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</si>
  <si>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</si>
  <si>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</si>
  <si>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</si>
  <si>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</si>
  <si>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</si>
  <si>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</si>
  <si>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</si>
  <si>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</si>
  <si>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</si>
  <si>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</si>
  <si>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</si>
  <si>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</si>
  <si>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</si>
  <si>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</si>
  <si>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</si>
  <si>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</si>
  <si>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</si>
  <si>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</si>
  <si>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</si>
  <si>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</si>
  <si>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</si>
  <si>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</si>
  <si>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</si>
  <si>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</si>
  <si>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</si>
  <si>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</si>
  <si>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</si>
  <si>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</si>
  <si>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</si>
  <si>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</si>
  <si>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</si>
  <si>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</si>
  <si>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</si>
  <si>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</si>
  <si>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</si>
  <si>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</si>
  <si>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</si>
  <si>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</si>
  <si>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</si>
  <si>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</si>
  <si>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</si>
  <si>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</si>
  <si>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</si>
  <si>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</si>
  <si>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</si>
  <si>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</si>
  <si>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</si>
  <si>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</si>
  <si>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</si>
  <si>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</si>
  <si>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</si>
  <si>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</si>
  <si>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</si>
  <si>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</si>
  <si>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</si>
  <si>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</si>
  <si>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</si>
  <si>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</si>
  <si>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</si>
  <si>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</si>
  <si>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</si>
  <si>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</si>
  <si>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</si>
  <si>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</si>
  <si>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</si>
  <si>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</si>
  <si>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</si>
  <si>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</si>
  <si>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</si>
  <si>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</si>
  <si>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</si>
  <si>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</si>
  <si>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</si>
  <si>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</si>
  <si>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</si>
  <si>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</si>
  <si>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</si>
  <si>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</si>
  <si>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</si>
  <si>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</si>
  <si>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</si>
  <si>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</si>
  <si>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</si>
  <si>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</si>
  <si>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</si>
  <si>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</si>
  <si>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</si>
  <si>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</si>
  <si>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</si>
  <si>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</si>
  <si>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</si>
  <si>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</si>
  <si>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</si>
  <si>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</si>
  <si>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</si>
  <si>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</si>
  <si>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</si>
  <si>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</si>
  <si>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</si>
  <si>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</si>
  <si>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</si>
  <si>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</si>
  <si>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</si>
  <si>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</si>
  <si>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</si>
  <si>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</si>
  <si>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</si>
  <si>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</si>
  <si>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</si>
  <si>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</si>
  <si>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</si>
  <si>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</si>
  <si>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</si>
  <si>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</si>
  <si>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</si>
  <si>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</si>
  <si>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</si>
  <si>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</si>
  <si>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</si>
  <si>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</si>
  <si>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</si>
  <si>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</si>
  <si>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</si>
  <si>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</si>
  <si>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</si>
  <si>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</si>
  <si>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</si>
  <si>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</si>
  <si>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</si>
  <si>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</si>
  <si>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</si>
  <si>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</si>
  <si>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</si>
  <si>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</si>
  <si>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</si>
  <si>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</si>
  <si>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</si>
  <si>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</si>
  <si>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</si>
  <si>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</si>
  <si>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</si>
  <si>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</si>
  <si>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</si>
  <si>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</si>
  <si>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</si>
  <si>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</si>
  <si>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</si>
  <si>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</si>
  <si>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</si>
  <si>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</si>
  <si>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</si>
  <si>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</si>
  <si>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</si>
  <si>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</si>
  <si>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</si>
  <si>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</si>
  <si>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</si>
  <si>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</si>
  <si>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</si>
  <si>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</si>
  <si>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</si>
  <si>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</si>
  <si>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</si>
  <si>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</si>
  <si>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</si>
  <si>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</si>
  <si>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</si>
  <si>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</si>
  <si>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</si>
  <si>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</si>
  <si>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</si>
  <si>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</si>
  <si>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</si>
  <si>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</si>
  <si>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</si>
  <si>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</si>
  <si>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</si>
  <si>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</si>
  <si>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</si>
  <si>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</si>
  <si>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</si>
  <si>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</si>
  <si>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</si>
  <si>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</si>
  <si>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</si>
  <si>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</si>
  <si>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</si>
  <si>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</si>
  <si>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</si>
  <si>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</si>
  <si>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</si>
  <si>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</si>
  <si>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</si>
  <si>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</si>
  <si>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</si>
  <si>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</si>
  <si>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</si>
  <si>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</si>
  <si>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</si>
  <si>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</si>
  <si>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</si>
  <si>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</si>
  <si>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</si>
  <si>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</si>
  <si>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</si>
  <si>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</si>
  <si>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</si>
  <si>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</si>
  <si>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</si>
  <si>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</si>
  <si>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</si>
  <si>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</si>
  <si>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</si>
  <si>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</si>
  <si>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</si>
  <si>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</si>
  <si>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</si>
  <si>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</si>
  <si>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</si>
  <si>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</si>
  <si>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</si>
  <si>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</si>
  <si>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</si>
  <si>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</si>
  <si>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</si>
  <si>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</si>
  <si>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</si>
  <si>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</si>
  <si>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</si>
  <si>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</si>
  <si>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</si>
  <si>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</si>
  <si>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</si>
  <si>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</si>
  <si>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</si>
  <si>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</si>
  <si>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</si>
  <si>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</si>
  <si>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</si>
  <si>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</si>
  <si>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</si>
  <si>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</si>
  <si>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</si>
  <si>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</si>
  <si>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</si>
  <si>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</si>
  <si>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</si>
  <si>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</si>
  <si>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</si>
  <si>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</si>
  <si>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</si>
  <si>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</si>
  <si>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</si>
  <si>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</si>
  <si>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</si>
  <si>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</si>
  <si>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</si>
  <si>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</si>
  <si>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</si>
  <si>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</si>
  <si>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</si>
  <si>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</si>
  <si>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</si>
  <si>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</si>
  <si>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</si>
  <si>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</si>
  <si>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</si>
  <si>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</si>
  <si>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</si>
  <si>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</si>
  <si>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</si>
  <si>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</si>
  <si>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</si>
  <si>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</si>
  <si>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</si>
  <si>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</si>
  <si>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</si>
  <si>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</si>
  <si>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</si>
  <si>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</si>
  <si>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</si>
  <si>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</si>
  <si>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</si>
  <si>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</si>
  <si>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</si>
  <si>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</si>
  <si>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</si>
  <si>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</si>
  <si>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</si>
  <si>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</si>
  <si>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</si>
  <si>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</si>
  <si>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</si>
  <si>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</si>
  <si>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</si>
  <si>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</si>
  <si>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</si>
  <si>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</si>
  <si>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</si>
  <si>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</si>
  <si>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</si>
  <si>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</si>
  <si>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</si>
  <si>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</si>
  <si>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</si>
  <si>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</si>
  <si>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</si>
  <si>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</si>
  <si>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</si>
  <si>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</si>
  <si>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</si>
  <si>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</si>
  <si>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</si>
  <si>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</si>
  <si>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</si>
  <si>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</si>
  <si>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</si>
  <si>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</si>
  <si>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</si>
  <si>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</si>
  <si>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</si>
  <si>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</si>
  <si>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</si>
  <si>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</si>
  <si>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</si>
  <si>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</si>
  <si>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</si>
  <si>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</si>
  <si>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</si>
  <si>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</si>
  <si>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</si>
  <si>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</si>
  <si>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</si>
  <si>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</si>
  <si>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</si>
  <si>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</si>
  <si>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</si>
  <si>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</si>
  <si>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</si>
  <si>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</si>
  <si>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</si>
  <si>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</si>
  <si>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</si>
  <si>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</si>
  <si>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</si>
  <si>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</si>
  <si>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</si>
  <si>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</si>
  <si>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</si>
  <si>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</si>
  <si>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</si>
  <si>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</si>
  <si>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</si>
  <si>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</si>
  <si>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</si>
  <si>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</si>
  <si>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</si>
  <si>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</si>
  <si>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</si>
  <si>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</si>
  <si>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</si>
  <si>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</si>
  <si>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</si>
  <si>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</si>
  <si>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</si>
  <si>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</si>
  <si>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</si>
  <si>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</si>
  <si>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</si>
  <si>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</si>
  <si>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</si>
  <si>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</si>
  <si>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</si>
  <si>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</si>
  <si>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</si>
  <si>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</si>
  <si>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</si>
  <si>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</si>
  <si>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</si>
  <si>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</si>
  <si>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</si>
  <si>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</si>
  <si>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</si>
  <si>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</si>
  <si>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</si>
  <si>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</si>
  <si>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</si>
  <si>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</si>
  <si>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</si>
  <si>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</si>
  <si>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</si>
  <si>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</si>
  <si>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</si>
  <si>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</si>
  <si>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</si>
  <si>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</si>
  <si>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</si>
  <si>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</si>
  <si>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</si>
  <si>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</si>
  <si>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</si>
  <si>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</si>
  <si>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</si>
  <si>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</si>
  <si>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</si>
  <si>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</si>
  <si>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</si>
  <si>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</si>
  <si>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</si>
  <si>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</si>
  <si>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</si>
  <si>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</si>
  <si>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</si>
  <si>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</si>
  <si>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</si>
  <si>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</si>
  <si>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</si>
  <si>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</si>
  <si>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</si>
  <si>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</si>
  <si>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</si>
  <si>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</si>
  <si>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</si>
  <si>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</si>
  <si>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</si>
  <si>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</si>
  <si>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</si>
  <si>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</si>
  <si>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</si>
  <si>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</si>
  <si>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</si>
  <si>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</si>
  <si>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</si>
  <si>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</si>
  <si>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</si>
  <si>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</si>
  <si>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</si>
  <si>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</si>
  <si>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</si>
  <si>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</si>
  <si>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</si>
  <si>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</si>
  <si>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</si>
  <si>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</si>
  <si>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</si>
  <si>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</si>
  <si>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</si>
  <si>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</si>
  <si>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</si>
  <si>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</si>
  <si>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</si>
  <si>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</si>
  <si>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</si>
  <si>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</si>
  <si>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</si>
  <si>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</si>
  <si>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</si>
  <si>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</si>
  <si>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</si>
  <si>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</si>
  <si>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</si>
  <si>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</si>
  <si>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</si>
  <si>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</si>
  <si>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</si>
  <si>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</si>
  <si>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</si>
  <si>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</si>
  <si>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</si>
  <si>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</si>
  <si>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</si>
  <si>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</si>
  <si>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</si>
  <si>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</si>
  <si>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</si>
  <si>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</si>
  <si>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</si>
  <si>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</si>
  <si>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</si>
  <si>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</si>
  <si>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</si>
  <si>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</si>
  <si>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</si>
  <si>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</si>
  <si>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</si>
  <si>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</si>
  <si>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</si>
  <si>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</si>
  <si>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</si>
  <si>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</si>
  <si>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</si>
  <si>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</si>
  <si>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</si>
  <si>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</si>
  <si>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</si>
  <si>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</si>
  <si>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</si>
  <si>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</si>
  <si>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</si>
  <si>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</si>
  <si>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</si>
  <si>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</si>
  <si>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</si>
  <si>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</si>
  <si>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</si>
  <si>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</si>
  <si>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</si>
  <si>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</si>
  <si>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</si>
  <si>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</si>
  <si>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</si>
  <si>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</si>
  <si>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</si>
  <si>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</si>
  <si>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</si>
  <si>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</si>
  <si>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</si>
  <si>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</si>
  <si>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</si>
  <si>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</si>
  <si>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</si>
  <si>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</si>
  <si>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</si>
  <si>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</si>
  <si>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</si>
  <si>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</si>
  <si>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</si>
  <si>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</si>
  <si>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</si>
  <si>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</si>
  <si>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</si>
  <si>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</si>
  <si>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</si>
  <si>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</si>
  <si>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</si>
  <si>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</si>
  <si>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</si>
  <si>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</si>
  <si>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</si>
  <si>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</si>
  <si>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</si>
  <si>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</si>
  <si>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</si>
  <si>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</si>
  <si>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</si>
  <si>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</si>
  <si>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</si>
  <si>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</si>
  <si>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</si>
  <si>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</si>
  <si>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</si>
  <si>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</si>
  <si>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</si>
  <si>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</si>
  <si>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</si>
  <si>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</si>
  <si>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</si>
  <si>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</si>
  <si>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</si>
  <si>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</si>
  <si>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</si>
  <si>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</si>
  <si>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</si>
  <si>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</si>
  <si>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</si>
  <si>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</si>
  <si>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</si>
  <si>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</si>
  <si>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</si>
  <si>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</si>
  <si>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</si>
  <si>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</si>
  <si>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</si>
  <si>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</si>
  <si>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</si>
  <si>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</si>
  <si>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</si>
  <si>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</si>
  <si>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</si>
  <si>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</si>
  <si>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</si>
  <si>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</si>
  <si>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</si>
  <si>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</si>
  <si>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</si>
  <si>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</si>
  <si>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</si>
  <si>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</si>
  <si>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</si>
  <si>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</si>
  <si>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</si>
  <si>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</si>
  <si>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</si>
  <si>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</si>
  <si>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</si>
  <si>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</si>
  <si>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</si>
  <si>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</si>
  <si>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</si>
  <si>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</si>
  <si>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</si>
  <si>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</si>
  <si>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</si>
  <si>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</si>
  <si>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</si>
  <si>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</si>
  <si>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</si>
  <si>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</si>
  <si>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</si>
  <si>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</si>
  <si>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</si>
  <si>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</si>
  <si>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</si>
  <si>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</si>
  <si>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</si>
  <si>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</si>
  <si>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</si>
  <si>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</si>
  <si>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</si>
  <si>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</si>
  <si>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</si>
  <si>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</si>
  <si>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</si>
  <si>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</si>
  <si>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</si>
  <si>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</si>
  <si>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</si>
  <si>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</si>
  <si>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</si>
  <si>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</si>
  <si>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</si>
  <si>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</si>
  <si>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</si>
  <si>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</si>
  <si>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</si>
  <si>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</si>
  <si>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</si>
  <si>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</si>
  <si>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</si>
  <si>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</si>
  <si>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</si>
  <si>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</si>
  <si>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</si>
  <si>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</si>
  <si>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</si>
  <si>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</si>
  <si>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</si>
  <si>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</si>
  <si>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</si>
  <si>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</si>
  <si>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</si>
  <si>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</si>
  <si>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</si>
  <si>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</si>
  <si>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</si>
  <si>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</si>
  <si>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</si>
  <si>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</si>
  <si>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</si>
  <si>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</si>
  <si>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</si>
  <si>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</si>
  <si>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</si>
  <si>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</si>
  <si>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</si>
  <si>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</si>
  <si>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</si>
  <si>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</si>
  <si>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</si>
  <si>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</si>
  <si>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</si>
  <si>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</si>
  <si>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</si>
  <si>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</si>
  <si>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</si>
  <si>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</si>
  <si>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</si>
  <si>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</si>
  <si>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</si>
  <si>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</si>
  <si>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</si>
  <si>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</si>
  <si>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</si>
  <si>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</si>
  <si>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</si>
  <si>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</si>
  <si>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</si>
  <si>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</si>
  <si>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</si>
  <si>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</si>
  <si>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</si>
  <si>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</si>
  <si>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</si>
  <si>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</si>
  <si>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</si>
  <si>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</si>
  <si>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</si>
  <si>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</si>
  <si>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</si>
  <si>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</si>
  <si>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</si>
  <si>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</si>
  <si>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</si>
  <si>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</si>
  <si>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</si>
  <si>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</si>
  <si>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</si>
  <si>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</si>
  <si>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</si>
  <si>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</si>
  <si>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</si>
  <si>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</si>
  <si>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</si>
  <si>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</si>
  <si>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</si>
  <si>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</si>
  <si>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</si>
  <si>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</si>
  <si>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</si>
  <si>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</si>
  <si>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</si>
  <si>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</si>
  <si>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</si>
  <si>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</si>
  <si>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</si>
  <si>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</si>
  <si>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</si>
  <si>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</si>
  <si>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</si>
  <si>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</si>
  <si>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</si>
  <si>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</si>
  <si>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</si>
  <si>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</si>
  <si>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</si>
  <si>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</si>
  <si>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</si>
  <si>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</si>
  <si>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</si>
  <si>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</si>
  <si>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</si>
  <si>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</si>
  <si>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</si>
  <si>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</si>
  <si>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</si>
  <si>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</si>
  <si>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</si>
  <si>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</si>
  <si>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</si>
  <si>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</si>
  <si>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</si>
  <si>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</si>
  <si>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</si>
  <si>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</si>
  <si>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</si>
  <si>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</si>
  <si>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</si>
  <si>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</si>
  <si>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</si>
  <si>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</si>
  <si>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</si>
  <si>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</si>
  <si>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</si>
  <si>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</si>
  <si>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</si>
  <si>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</si>
  <si>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</si>
  <si>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</si>
  <si>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</si>
  <si>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</si>
  <si>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</si>
  <si>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</si>
  <si>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</si>
  <si>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</si>
  <si>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</si>
  <si>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</si>
  <si>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</si>
  <si>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</si>
  <si>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</si>
  <si>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</si>
  <si>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</si>
  <si>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</si>
  <si>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</si>
  <si>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</si>
  <si>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</si>
  <si>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</si>
  <si>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</si>
  <si>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</si>
  <si>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</si>
  <si>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</si>
  <si>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</si>
  <si>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</si>
  <si>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</si>
  <si>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</si>
  <si>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</si>
  <si>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</si>
  <si>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</si>
  <si>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</si>
  <si>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</si>
  <si>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</si>
  <si>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</si>
  <si>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</si>
  <si>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</si>
  <si>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</si>
  <si>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</si>
  <si>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</si>
  <si>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</si>
  <si>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</si>
  <si>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</si>
  <si>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</si>
  <si>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</si>
  <si>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</si>
  <si>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</si>
  <si>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</si>
  <si>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</si>
  <si>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</si>
  <si>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</si>
  <si>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</si>
  <si>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</si>
  <si>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</si>
  <si>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</si>
  <si>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</si>
  <si>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</si>
  <si>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</si>
  <si>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</si>
  <si>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</si>
  <si>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</si>
  <si>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</si>
  <si>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</si>
  <si>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</si>
  <si>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</si>
  <si>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</si>
  <si>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</si>
  <si>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</si>
  <si>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</si>
  <si>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</si>
  <si>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</si>
  <si>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</si>
  <si>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</si>
  <si>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</si>
  <si>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</si>
  <si>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</si>
  <si>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</si>
  <si>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</si>
  <si>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</si>
  <si>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</si>
  <si>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</si>
  <si>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</si>
  <si>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</si>
  <si>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</si>
  <si>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</si>
  <si>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</si>
  <si>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</si>
  <si>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</si>
  <si>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</si>
  <si>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</si>
  <si>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</si>
  <si>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</si>
  <si>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</si>
  <si>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</si>
  <si>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</si>
  <si>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</si>
  <si>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</si>
  <si>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</si>
  <si>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</si>
  <si>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</si>
  <si>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</si>
  <si>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</si>
  <si>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</si>
  <si>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</si>
  <si>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</si>
  <si>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</si>
  <si>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</si>
  <si>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</si>
  <si>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</si>
  <si>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</si>
  <si>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</si>
  <si>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</si>
  <si>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</si>
  <si>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</si>
  <si>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</si>
  <si>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</si>
  <si>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</si>
  <si>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</si>
  <si>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</si>
  <si>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</si>
  <si>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</si>
  <si>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</si>
  <si>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</si>
  <si>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</si>
  <si>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</si>
  <si>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</si>
  <si>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</si>
  <si>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</si>
  <si>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</si>
  <si>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</si>
  <si>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</si>
  <si>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</si>
  <si>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</si>
  <si>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</si>
  <si>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</si>
  <si>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</si>
  <si>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</si>
  <si>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</si>
  <si>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</si>
  <si>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</si>
  <si>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</si>
  <si>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</si>
  <si>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</si>
  <si>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</si>
  <si>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</si>
  <si>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</si>
  <si>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</si>
  <si>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</si>
  <si>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</si>
  <si>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</si>
  <si>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</si>
  <si>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</si>
  <si>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</si>
  <si>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</si>
  <si>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</si>
  <si>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</si>
  <si>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</si>
  <si>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</si>
  <si>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</si>
  <si>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</si>
  <si>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</si>
  <si>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</si>
  <si>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</si>
  <si>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</si>
  <si>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</si>
  <si>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</si>
  <si>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</si>
  <si>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</si>
  <si>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</si>
  <si>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</si>
  <si>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</si>
  <si>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</si>
  <si>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</si>
  <si>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</si>
  <si>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</si>
  <si>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</si>
  <si>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</si>
  <si>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</si>
  <si>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</si>
  <si>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</si>
  <si>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</si>
  <si>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</si>
  <si>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</si>
  <si>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</si>
  <si>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</si>
  <si>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</si>
  <si>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</si>
  <si>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</si>
  <si>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</si>
  <si>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</si>
  <si>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</si>
  <si>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</si>
  <si>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</si>
  <si>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</si>
  <si>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</si>
  <si>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</si>
  <si>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</si>
  <si>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</si>
  <si>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</si>
  <si>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</si>
  <si>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</si>
  <si>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</si>
  <si>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</si>
  <si>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</si>
  <si>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</si>
  <si>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</si>
  <si>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</si>
  <si>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</si>
  <si>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</si>
  <si>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</si>
  <si>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</si>
  <si>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</si>
  <si>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</si>
  <si>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</si>
  <si>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</si>
  <si>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</si>
  <si>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</si>
  <si>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</si>
  <si>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</si>
  <si>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</si>
  <si>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</si>
  <si>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</si>
  <si>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</si>
  <si>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</si>
  <si>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</si>
  <si>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</si>
  <si>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</si>
  <si>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</si>
  <si>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</si>
  <si>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</si>
  <si>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</si>
  <si>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</si>
  <si>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</si>
  <si>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</si>
  <si>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</si>
  <si>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</si>
  <si>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</si>
  <si>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</si>
  <si>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</si>
  <si>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</si>
  <si>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</si>
  <si>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</si>
  <si>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</si>
  <si>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</si>
  <si>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</si>
  <si>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</si>
  <si>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</si>
  <si>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</si>
  <si>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</si>
  <si>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</si>
  <si>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</si>
  <si>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</si>
  <si>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</si>
  <si>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</si>
  <si>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</si>
  <si>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</si>
  <si>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</si>
  <si>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</si>
  <si>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</si>
  <si>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</si>
  <si>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</si>
  <si>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</si>
  <si>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</si>
  <si>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</si>
  <si>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</si>
  <si>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</si>
  <si>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</si>
  <si>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</si>
  <si>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</si>
  <si>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</si>
  <si>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</si>
  <si>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</si>
  <si>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</si>
  <si>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</si>
  <si>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</si>
  <si>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</si>
  <si>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</si>
  <si>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</si>
  <si>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</si>
  <si>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</si>
  <si>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</si>
  <si>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</si>
  <si>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</si>
  <si>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</si>
  <si>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</si>
  <si>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</si>
  <si>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</si>
  <si>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</si>
  <si>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</si>
  <si>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</si>
  <si>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</si>
  <si>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</si>
  <si>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</si>
  <si>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</si>
  <si>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</si>
  <si>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</si>
  <si>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</si>
  <si>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</si>
  <si>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</si>
  <si>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</si>
  <si>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</si>
  <si>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</si>
  <si>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</si>
  <si>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</si>
  <si>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</si>
  <si>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</si>
  <si>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</si>
  <si>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</si>
  <si>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</si>
  <si>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</si>
  <si>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</si>
  <si>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</si>
  <si>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</si>
  <si>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</si>
  <si>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</si>
  <si>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</si>
  <si>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</si>
  <si>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</si>
  <si>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</si>
  <si>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</si>
  <si>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</si>
  <si>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</si>
  <si>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</si>
  <si>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</si>
  <si>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</si>
  <si>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</si>
  <si>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</si>
  <si>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</si>
  <si>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</si>
  <si>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</si>
  <si>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</si>
  <si>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</si>
  <si>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</si>
  <si>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</si>
  <si>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</si>
  <si>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</si>
  <si>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</si>
  <si>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</si>
  <si>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</si>
  <si>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</si>
  <si>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</si>
  <si>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</si>
  <si>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</si>
  <si>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</si>
  <si>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</si>
  <si>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</si>
  <si>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</si>
  <si>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</si>
  <si>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</si>
  <si>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</si>
  <si>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</si>
  <si>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</si>
  <si>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</si>
  <si>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</si>
  <si>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</si>
  <si>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</si>
  <si>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</si>
  <si>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</si>
  <si>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</si>
  <si>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</si>
  <si>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</si>
  <si>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</si>
  <si>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</si>
  <si>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</si>
  <si>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</si>
  <si>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</si>
  <si>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</si>
  <si>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</si>
  <si>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</si>
  <si>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</si>
  <si>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</si>
  <si>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</si>
  <si>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</si>
  <si>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</si>
  <si>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</si>
  <si>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</si>
  <si>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</si>
  <si>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</si>
  <si>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</si>
  <si>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</si>
  <si>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</si>
  <si>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</si>
  <si>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</si>
  <si>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</si>
  <si>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</si>
  <si>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</si>
  <si>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</si>
  <si>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</si>
  <si>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</si>
  <si>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</si>
  <si>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</si>
  <si>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</si>
  <si>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</si>
  <si>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</si>
  <si>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</si>
  <si>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</si>
  <si>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</si>
  <si>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</si>
  <si>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</si>
  <si>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</si>
  <si>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</si>
  <si>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</si>
  <si>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</si>
  <si>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</si>
  <si>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</si>
  <si>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</si>
  <si>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</si>
  <si>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</si>
  <si>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</si>
  <si>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</si>
  <si>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</si>
  <si>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</si>
  <si>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</si>
  <si>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</si>
  <si>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</si>
  <si>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</si>
  <si>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</si>
  <si>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</si>
  <si>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</si>
  <si>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</si>
  <si>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</si>
  <si>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</si>
  <si>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</si>
  <si>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</si>
  <si>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</si>
  <si>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</si>
  <si>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</si>
  <si>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</si>
  <si>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</si>
  <si>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</si>
  <si>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</si>
  <si>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</si>
  <si>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</si>
  <si>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</si>
  <si>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</si>
  <si>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</si>
  <si>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</si>
  <si>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</si>
  <si>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</si>
  <si>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</si>
  <si>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</si>
  <si>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</si>
  <si>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</si>
  <si>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</si>
  <si>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</si>
  <si>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</si>
  <si>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</si>
  <si>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</si>
  <si>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</si>
  <si>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</si>
  <si>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</si>
  <si>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</si>
  <si>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</si>
  <si>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</si>
  <si>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</si>
  <si>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</si>
  <si>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</si>
  <si>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</si>
  <si>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</si>
  <si>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</si>
  <si>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</si>
  <si>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</si>
  <si>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</si>
  <si>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</si>
  <si>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</si>
  <si>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</si>
  <si>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</si>
  <si>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</si>
  <si>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</si>
  <si>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</si>
  <si>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</si>
  <si>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</si>
  <si>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</si>
  <si>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</si>
  <si>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</si>
  <si>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</si>
  <si>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</si>
  <si>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</si>
  <si>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</si>
  <si>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</si>
  <si>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</si>
  <si>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</si>
  <si>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</si>
  <si>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</si>
  <si>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</si>
  <si>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</si>
  <si>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</si>
  <si>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</si>
  <si>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</si>
  <si>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</si>
  <si>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</si>
  <si>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</si>
  <si>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</si>
  <si>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</si>
  <si>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</si>
  <si>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</si>
  <si>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</si>
  <si>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</si>
  <si>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</si>
  <si>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</si>
  <si>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</si>
  <si>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</si>
  <si>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</si>
  <si>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</si>
  <si>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</si>
  <si>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</si>
  <si>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</si>
  <si>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</si>
  <si>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</si>
  <si>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</si>
  <si>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</si>
  <si>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</si>
  <si>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</si>
  <si>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</si>
  <si>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</si>
  <si>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</si>
  <si>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</si>
  <si>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</si>
  <si>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</si>
  <si>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</si>
  <si>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</si>
  <si>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</si>
  <si>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</si>
  <si>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</si>
  <si>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</si>
  <si>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</si>
  <si>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</si>
  <si>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</si>
  <si>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</si>
  <si>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</si>
  <si>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</si>
  <si>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</si>
  <si>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</si>
  <si>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</si>
  <si>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</si>
  <si>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</si>
  <si>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</si>
  <si>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</si>
  <si>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</si>
  <si>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</si>
  <si>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</si>
  <si>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</si>
  <si>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</si>
  <si>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</si>
  <si>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</si>
  <si>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</si>
  <si>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</si>
  <si>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</si>
  <si>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</si>
  <si>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</si>
  <si>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</si>
  <si>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</si>
  <si>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</si>
  <si>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</si>
  <si>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</si>
  <si>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</si>
  <si>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</si>
  <si>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</si>
  <si>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</si>
  <si>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</si>
  <si>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</si>
  <si>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</si>
  <si>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</si>
  <si>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</si>
  <si>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</si>
  <si>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</si>
  <si>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</si>
  <si>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</si>
  <si>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</si>
  <si>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</si>
  <si>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</si>
  <si>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</si>
  <si>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</si>
  <si>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</si>
  <si>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</si>
  <si>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</si>
  <si>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</si>
  <si>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</si>
  <si>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</si>
  <si>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</si>
  <si>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</si>
  <si>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</si>
  <si>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</si>
  <si>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</si>
  <si>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</si>
  <si>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</si>
  <si>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</si>
  <si>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</si>
  <si>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</si>
  <si>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</si>
  <si>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</si>
  <si>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</si>
  <si>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</si>
  <si>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</si>
  <si>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</si>
  <si>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</si>
  <si>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</si>
  <si>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</si>
  <si>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</si>
  <si>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</si>
  <si>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</si>
  <si>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</si>
  <si>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</si>
  <si>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</si>
  <si>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</si>
  <si>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</si>
  <si>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</si>
  <si>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</si>
  <si>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</si>
  <si>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</si>
  <si>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</si>
  <si>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</si>
  <si>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</si>
  <si>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</si>
  <si>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</si>
  <si>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</si>
  <si>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</si>
  <si>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</si>
  <si>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</si>
  <si>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</si>
  <si>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</si>
  <si>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</si>
  <si>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</si>
  <si>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</si>
  <si>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</si>
  <si>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</si>
  <si>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</si>
  <si>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</si>
  <si>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</si>
  <si>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</si>
  <si>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</si>
  <si>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</si>
  <si>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</si>
  <si>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</si>
  <si>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</si>
  <si>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</si>
  <si>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</si>
  <si>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</si>
  <si>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</si>
  <si>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</si>
  <si>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</si>
  <si>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</si>
  <si>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</si>
  <si>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</si>
  <si>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</si>
  <si>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</si>
  <si>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</si>
  <si>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</si>
  <si>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</si>
  <si>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</si>
  <si>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</si>
  <si>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</si>
  <si>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</si>
  <si>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</si>
  <si>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</si>
  <si>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</si>
  <si>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</si>
  <si>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</si>
  <si>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</si>
  <si>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</si>
  <si>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</si>
  <si>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</si>
  <si>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</si>
  <si>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</si>
  <si>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</si>
  <si>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</si>
  <si>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</si>
  <si>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</si>
  <si>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</si>
  <si>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</si>
  <si>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</si>
  <si>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</si>
  <si>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</si>
  <si>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</si>
  <si>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</si>
  <si>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</si>
  <si>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</si>
  <si>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</si>
  <si>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</si>
  <si>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</si>
  <si>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</si>
  <si>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</si>
  <si>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</si>
  <si>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</si>
  <si>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</si>
  <si>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</si>
  <si>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</si>
  <si>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</si>
  <si>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</si>
  <si>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</si>
  <si>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</si>
  <si>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</si>
  <si>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</si>
  <si>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</si>
  <si>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</si>
  <si>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</si>
  <si>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</si>
  <si>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</si>
  <si>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</si>
  <si>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</si>
  <si>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</si>
  <si>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</si>
  <si>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</si>
  <si>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</si>
  <si>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</si>
  <si>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</si>
  <si>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</si>
  <si>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</si>
  <si>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</si>
  <si>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</si>
  <si>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</si>
  <si>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</si>
  <si>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</si>
  <si>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</si>
  <si>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</si>
  <si>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</si>
  <si>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</si>
  <si>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</si>
  <si>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</si>
  <si>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</si>
  <si>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</si>
  <si>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</si>
  <si>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</si>
  <si>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</si>
  <si>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</si>
  <si>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</si>
  <si>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</si>
  <si>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</si>
  <si>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</si>
  <si>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</si>
  <si>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</si>
  <si>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</si>
  <si>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</si>
  <si>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</si>
  <si>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</si>
  <si>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</si>
  <si>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</si>
  <si>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</si>
  <si>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</si>
  <si>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</si>
  <si>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</si>
  <si>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</si>
  <si>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</si>
  <si>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</si>
  <si>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</si>
  <si>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</si>
  <si>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</si>
  <si>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</si>
  <si>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</si>
  <si>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</si>
  <si>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</si>
  <si>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</si>
  <si>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</si>
  <si>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</si>
  <si>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</si>
  <si>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</si>
  <si>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</si>
  <si>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</si>
  <si>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</si>
  <si>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</si>
  <si>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</si>
  <si>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</si>
  <si>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</si>
  <si>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</si>
  <si>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</si>
  <si>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</si>
  <si>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</si>
  <si>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</si>
  <si>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</si>
  <si>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</si>
  <si>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</si>
  <si>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</si>
  <si>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</si>
  <si>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</si>
  <si>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</si>
  <si>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</si>
  <si>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</si>
  <si>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</si>
  <si>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</si>
  <si>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</si>
  <si>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</si>
  <si>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</si>
  <si>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</si>
  <si>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</si>
  <si>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</si>
  <si>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</si>
  <si>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</si>
  <si>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</si>
  <si>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</si>
  <si>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</si>
  <si>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</si>
  <si>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</si>
  <si>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</si>
  <si>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</si>
  <si>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</si>
  <si>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</si>
  <si>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</si>
  <si>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</si>
  <si>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</si>
  <si>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</si>
  <si>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</si>
  <si>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</si>
  <si>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</si>
  <si>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</si>
  <si>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</si>
  <si>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</si>
  <si>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</si>
  <si>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</si>
  <si>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</si>
  <si>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</si>
  <si>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</si>
  <si>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</si>
  <si>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</si>
  <si>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</si>
  <si>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</si>
  <si>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</si>
  <si>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</si>
  <si>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</si>
  <si>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</si>
  <si>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</si>
  <si>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</si>
  <si>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</si>
  <si>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</si>
  <si>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</si>
  <si>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</si>
  <si>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</si>
  <si>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</si>
  <si>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</si>
  <si>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</si>
  <si>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</si>
  <si>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</si>
  <si>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</si>
  <si>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</si>
  <si>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</si>
  <si>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</si>
  <si>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</si>
  <si>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</si>
  <si>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</si>
  <si>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</si>
  <si>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</si>
  <si>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</si>
  <si>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</si>
  <si>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</si>
  <si>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</si>
  <si>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</si>
  <si>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</si>
  <si>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</si>
  <si>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</si>
  <si>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</si>
  <si>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</si>
  <si>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</si>
  <si>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</si>
  <si>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</si>
  <si>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</si>
  <si>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</si>
  <si>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</si>
  <si>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</si>
  <si>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</si>
  <si>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</si>
  <si>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</si>
  <si>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</si>
  <si>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</si>
  <si>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</si>
  <si>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</si>
  <si>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</si>
  <si>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</si>
  <si>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</si>
  <si>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</si>
  <si>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</si>
  <si>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</si>
  <si>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</si>
  <si>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</si>
  <si>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</si>
  <si>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</si>
  <si>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</si>
  <si>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</si>
  <si>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</si>
  <si>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</si>
  <si>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</si>
  <si>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</si>
  <si>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</si>
  <si>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</si>
  <si>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</si>
  <si>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</si>
  <si>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</si>
  <si>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</si>
  <si>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</si>
  <si>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</si>
  <si>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</si>
  <si>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</si>
  <si>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</si>
  <si>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</si>
  <si>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</si>
  <si>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</si>
  <si>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</si>
  <si>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</si>
  <si>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</si>
  <si>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</si>
  <si>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</si>
  <si>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</si>
  <si>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</si>
  <si>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</si>
  <si>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</si>
  <si>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</si>
  <si>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</si>
  <si>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</si>
  <si>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</si>
  <si>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</si>
  <si>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</si>
  <si>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</si>
  <si>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</si>
  <si>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</si>
  <si>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</si>
  <si>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</si>
  <si>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</si>
  <si>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</si>
  <si>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</si>
  <si>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</si>
  <si>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</si>
  <si>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</si>
  <si>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</si>
  <si>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</si>
  <si>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</si>
  <si>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</si>
  <si>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</si>
  <si>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</si>
  <si>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</si>
  <si>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</si>
  <si>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</si>
  <si>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</si>
  <si>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</si>
  <si>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</si>
  <si>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</si>
  <si>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</si>
  <si>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</si>
  <si>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</si>
  <si>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</si>
  <si>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</si>
  <si>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</si>
  <si>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</si>
  <si>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</si>
  <si>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</si>
  <si>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</si>
  <si>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</si>
  <si>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</si>
  <si>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</si>
  <si>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</si>
  <si>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</si>
  <si>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</si>
  <si>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</si>
  <si>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</si>
  <si>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</si>
  <si>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</si>
  <si>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</si>
  <si>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</si>
  <si>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</si>
  <si>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</si>
  <si>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</si>
  <si>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</si>
  <si>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</si>
  <si>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</si>
  <si>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</si>
  <si>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</si>
  <si>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</si>
  <si>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</si>
  <si>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</si>
  <si>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</si>
  <si>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</si>
  <si>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</si>
  <si>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</si>
  <si>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</si>
  <si>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</si>
  <si>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</si>
  <si>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</si>
  <si>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</si>
  <si>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</si>
  <si>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</si>
  <si>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</si>
  <si>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</si>
  <si>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</si>
  <si>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</si>
  <si>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</si>
  <si>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</si>
  <si>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</si>
  <si>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</si>
  <si>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</si>
  <si>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</si>
  <si>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</si>
  <si>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</si>
  <si>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</si>
  <si>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</si>
  <si>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</si>
  <si>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</si>
  <si>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</si>
  <si>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</si>
  <si>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</si>
  <si>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</si>
  <si>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</si>
  <si>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</si>
  <si>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</si>
  <si>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</si>
  <si>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</si>
  <si>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</si>
  <si>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</si>
  <si>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</si>
  <si>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</si>
  <si>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</si>
  <si>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</si>
  <si>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</si>
  <si>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</si>
  <si>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</si>
  <si>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</si>
  <si>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</si>
  <si>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</si>
  <si>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</si>
  <si>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</si>
  <si>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</si>
  <si>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</si>
  <si>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</si>
  <si>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</si>
  <si>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</si>
  <si>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</si>
  <si>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</si>
  <si>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</si>
  <si>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</si>
  <si>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</si>
  <si>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</si>
  <si>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</si>
  <si>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</si>
  <si>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</si>
  <si>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</si>
  <si>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</si>
  <si>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</si>
  <si>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</si>
  <si>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</si>
  <si>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</si>
  <si>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</si>
  <si>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</si>
  <si>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</si>
  <si>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</si>
  <si>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</si>
  <si>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</si>
  <si>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</si>
  <si>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</si>
  <si>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</si>
  <si>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</si>
  <si>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</si>
  <si>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</si>
  <si>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</si>
  <si>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</si>
  <si>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</si>
  <si>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</si>
  <si>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</si>
  <si>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</si>
  <si>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</si>
  <si>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</si>
  <si>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</si>
  <si>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</si>
  <si>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</si>
  <si>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</si>
  <si>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</si>
  <si>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</si>
  <si>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</si>
  <si>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</si>
  <si>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</si>
  <si>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</si>
  <si>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</si>
  <si>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</si>
  <si>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</si>
  <si>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</si>
  <si>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</si>
  <si>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</si>
  <si>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</si>
  <si>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</si>
  <si>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</si>
  <si>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</si>
  <si>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</si>
  <si>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</si>
  <si>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</si>
  <si>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</si>
  <si>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</si>
  <si>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</si>
  <si>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</si>
  <si>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</si>
  <si>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</si>
  <si>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</si>
  <si>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</si>
  <si>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</si>
  <si>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</si>
  <si>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</si>
  <si>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</si>
  <si>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</si>
  <si>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</si>
  <si>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</si>
  <si>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</si>
  <si>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</si>
  <si>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</si>
  <si>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</si>
  <si>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</si>
  <si>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</si>
  <si>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</si>
  <si>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</si>
  <si>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</si>
  <si>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</si>
  <si>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</si>
  <si>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</si>
  <si>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</si>
  <si>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</si>
  <si>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</si>
  <si>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</si>
  <si>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</si>
  <si>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</si>
  <si>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</si>
  <si>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</si>
  <si>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</si>
  <si>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</si>
  <si>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</si>
  <si>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</si>
  <si>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</si>
  <si>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</si>
  <si>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</si>
  <si>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</si>
  <si>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</si>
  <si>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</si>
  <si>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</si>
  <si>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</si>
  <si>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</si>
  <si>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</si>
  <si>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</si>
  <si>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</si>
  <si>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</si>
  <si>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</si>
  <si>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</si>
  <si>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</si>
  <si>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</si>
  <si>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</si>
  <si>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</si>
  <si>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</si>
  <si>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</si>
  <si>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</si>
  <si>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</si>
  <si>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</si>
  <si>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</si>
  <si>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</si>
  <si>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</si>
  <si>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</si>
  <si>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</si>
  <si>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</si>
  <si>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</si>
  <si>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</si>
  <si>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</si>
  <si>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</si>
  <si>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</si>
  <si>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</si>
  <si>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</si>
  <si>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</si>
  <si>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</si>
  <si>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</si>
  <si>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</si>
  <si>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</si>
  <si>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</si>
  <si>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</si>
  <si>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</si>
  <si>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</si>
  <si>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</si>
  <si>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</si>
  <si>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</si>
  <si>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</si>
  <si>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</si>
  <si>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</si>
  <si>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</si>
  <si>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</si>
  <si>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</si>
  <si>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</si>
  <si>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</si>
  <si>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</si>
  <si>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</si>
  <si>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</si>
  <si>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</si>
  <si>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</si>
  <si>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</si>
  <si>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</si>
  <si>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</si>
  <si>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</si>
  <si>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</si>
  <si>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</si>
  <si>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</si>
  <si>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</si>
  <si>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</si>
  <si>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</si>
  <si>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</si>
  <si>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</si>
  <si>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</si>
  <si>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</si>
  <si>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</si>
  <si>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</si>
  <si>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</si>
  <si>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</si>
  <si>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</si>
  <si>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</si>
  <si>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</si>
  <si>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</si>
  <si>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</si>
  <si>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</si>
  <si>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</si>
  <si>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</si>
  <si>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</si>
  <si>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</si>
  <si>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</si>
  <si>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</si>
  <si>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</si>
  <si>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</si>
  <si>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</si>
  <si>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</si>
  <si>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</si>
  <si>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</si>
  <si>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</si>
  <si>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</si>
  <si>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</si>
  <si>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</si>
  <si>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</si>
  <si>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</si>
  <si>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</si>
  <si>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</si>
  <si>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</si>
  <si>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</si>
  <si>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</si>
  <si>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</si>
  <si>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</si>
  <si>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</si>
  <si>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</si>
  <si>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</si>
  <si>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</si>
  <si>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</si>
  <si>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</si>
  <si>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</si>
  <si>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</si>
  <si>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</si>
  <si>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</si>
  <si>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</si>
  <si>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</si>
  <si>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</si>
  <si>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</si>
  <si>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</si>
  <si>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</si>
  <si>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</si>
  <si>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</si>
  <si>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</si>
  <si>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</si>
  <si>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</si>
  <si>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</si>
  <si>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</si>
  <si>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</si>
  <si>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</si>
  <si>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</si>
  <si>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</si>
  <si>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</si>
  <si>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</si>
  <si>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</si>
  <si>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</si>
  <si>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</si>
  <si>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</si>
  <si>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</si>
  <si>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</si>
  <si>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</si>
  <si>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</si>
  <si>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</si>
  <si>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</si>
  <si>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</si>
  <si>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</si>
  <si>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</si>
  <si>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</si>
  <si>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</si>
  <si>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</si>
  <si>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</si>
  <si>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</si>
  <si>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</si>
  <si>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</si>
  <si>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</si>
  <si>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</si>
  <si>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</si>
  <si>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</si>
  <si>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</si>
  <si>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</si>
  <si>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</si>
  <si>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</si>
  <si>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</si>
  <si>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</si>
  <si>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</si>
  <si>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</si>
  <si>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</si>
  <si>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</si>
  <si>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</si>
  <si>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</si>
  <si>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</si>
  <si>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</si>
  <si>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</si>
  <si>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</si>
  <si>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</si>
  <si>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</si>
  <si>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</si>
  <si>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</si>
  <si>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</si>
  <si>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</si>
  <si>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</si>
  <si>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</si>
  <si>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</si>
  <si>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</si>
  <si>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</si>
  <si>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</si>
  <si>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</si>
  <si>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</si>
  <si>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</si>
  <si>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</si>
  <si>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</si>
  <si>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</si>
  <si>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</si>
  <si>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</si>
  <si>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</si>
  <si>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</si>
  <si>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</si>
  <si>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</si>
  <si>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</si>
  <si>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</si>
  <si>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</si>
  <si>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</si>
  <si>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</si>
  <si>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</si>
  <si>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</si>
  <si>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</si>
  <si>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</si>
  <si>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</si>
  <si>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</si>
  <si>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</si>
  <si>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</si>
  <si>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</si>
  <si>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</si>
  <si>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</si>
  <si>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</si>
  <si>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</si>
  <si>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</si>
  <si>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</si>
  <si>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</si>
  <si>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</si>
  <si>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</si>
  <si>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</si>
  <si>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</si>
  <si>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</si>
  <si>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</si>
  <si>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</si>
  <si>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</si>
  <si>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</si>
  <si>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</si>
  <si>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</si>
  <si>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</si>
  <si>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</si>
  <si>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</si>
  <si>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</si>
  <si>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</si>
  <si>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</si>
  <si>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</si>
  <si>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</si>
  <si>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</si>
  <si>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</si>
  <si>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</si>
  <si>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</si>
  <si>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</si>
  <si>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</si>
  <si>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</si>
  <si>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</si>
  <si>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</si>
  <si>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</si>
  <si>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</si>
  <si>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</si>
  <si>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</si>
  <si>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</si>
  <si>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</si>
  <si>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</si>
  <si>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</si>
  <si>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</si>
  <si>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</si>
  <si>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</si>
  <si>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</si>
  <si>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</si>
  <si>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</si>
  <si>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</si>
  <si>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</si>
  <si>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</si>
  <si>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</si>
  <si>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</si>
  <si>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</si>
  <si>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</si>
  <si>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</si>
  <si>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</si>
  <si>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</si>
  <si>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</si>
  <si>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</si>
  <si>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</si>
  <si>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</si>
  <si>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</si>
  <si>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</si>
  <si>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</si>
  <si>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</si>
  <si>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</si>
  <si>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</si>
  <si>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</si>
  <si>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</si>
  <si>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</si>
  <si>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</si>
  <si>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</si>
  <si>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</si>
  <si>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</si>
  <si>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</si>
  <si>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</si>
  <si>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</si>
  <si>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</si>
  <si>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</si>
  <si>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</si>
  <si>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</si>
  <si>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</si>
  <si>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</si>
  <si>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</si>
  <si>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</si>
  <si>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</si>
  <si>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</si>
  <si>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</si>
  <si>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</si>
  <si>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</si>
  <si>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</si>
  <si>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</si>
  <si>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</si>
  <si>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</si>
  <si>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</si>
  <si>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</si>
  <si>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</si>
  <si>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</si>
  <si>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</si>
  <si>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</si>
  <si>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</si>
  <si>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</si>
  <si>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</si>
  <si>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</si>
  <si>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</si>
  <si>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</si>
  <si>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</si>
  <si>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</si>
  <si>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</si>
  <si>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</si>
  <si>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</si>
  <si>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</si>
  <si>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</si>
  <si>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</si>
  <si>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</si>
  <si>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</si>
  <si>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</si>
  <si>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</si>
  <si>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</si>
  <si>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</si>
  <si>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</si>
  <si>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</si>
  <si>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</si>
  <si>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</si>
  <si>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</si>
  <si>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</si>
  <si>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</si>
  <si>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</si>
  <si>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</si>
  <si>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</si>
  <si>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</si>
  <si>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</si>
  <si>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</si>
  <si>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</si>
  <si>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</si>
  <si>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</si>
  <si>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</si>
  <si>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</si>
  <si>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</si>
  <si>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</si>
  <si>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</si>
  <si>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</si>
  <si>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</si>
  <si>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</si>
  <si>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</si>
  <si>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</si>
  <si>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</si>
  <si>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</si>
  <si>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</si>
  <si>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</si>
  <si>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</si>
  <si>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</si>
  <si>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</si>
  <si>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</si>
  <si>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</si>
  <si>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</si>
  <si>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</si>
  <si>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</si>
  <si>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</si>
  <si>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</si>
  <si>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</si>
  <si>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</si>
  <si>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</si>
  <si>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</si>
  <si>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</si>
  <si>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</si>
  <si>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</si>
  <si>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</si>
  <si>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</si>
  <si>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</si>
  <si>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</si>
  <si>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</si>
  <si>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</si>
  <si>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</si>
  <si>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</si>
  <si>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</si>
  <si>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</si>
  <si>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</si>
  <si>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</si>
  <si>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</si>
  <si>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</si>
  <si>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</si>
  <si>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</si>
  <si>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</si>
  <si>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</si>
  <si>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</si>
  <si>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</si>
  <si>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</si>
  <si>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</si>
  <si>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</si>
  <si>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</si>
  <si>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</si>
  <si>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</si>
  <si>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</si>
  <si>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</si>
  <si>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</si>
  <si>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</si>
  <si>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</si>
  <si>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</si>
  <si>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</si>
  <si>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</si>
  <si>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</si>
  <si>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</si>
  <si>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</si>
  <si>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</si>
  <si>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</si>
  <si>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</si>
  <si>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</si>
  <si>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</si>
  <si>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</si>
  <si>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</si>
  <si>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</si>
  <si>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</si>
  <si>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</si>
  <si>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</si>
  <si>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</si>
  <si>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</si>
  <si>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</si>
  <si>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</si>
  <si>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</si>
  <si>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</si>
  <si>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</si>
  <si>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</si>
  <si>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</si>
  <si>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</si>
  <si>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</si>
  <si>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</si>
  <si>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</si>
  <si>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</si>
  <si>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</si>
  <si>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</si>
  <si>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</si>
  <si>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</si>
  <si>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</si>
  <si>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</si>
  <si>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</si>
  <si>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</si>
  <si>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</si>
  <si>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</si>
  <si>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</si>
  <si>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</si>
  <si>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</si>
  <si>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</si>
  <si>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</si>
  <si>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</si>
  <si>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</si>
  <si>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</si>
  <si>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</si>
  <si>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</si>
  <si>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</si>
  <si>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</si>
  <si>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</si>
  <si>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</si>
  <si>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</si>
  <si>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</si>
  <si>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</si>
  <si>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</si>
  <si>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</si>
  <si>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</si>
  <si>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</si>
  <si>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</si>
  <si>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</si>
  <si>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</si>
  <si>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</si>
  <si>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</si>
  <si>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</si>
  <si>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</si>
  <si>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</si>
  <si>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</si>
  <si>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</si>
  <si>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</si>
  <si>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</si>
  <si>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</si>
  <si>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</si>
  <si>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</si>
  <si>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</si>
  <si>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</si>
  <si>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</si>
  <si>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</si>
  <si>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</si>
  <si>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</si>
  <si>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</si>
  <si>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</si>
  <si>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</si>
  <si>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</si>
  <si>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</si>
  <si>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</si>
  <si>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</si>
  <si>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</si>
  <si>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</si>
  <si>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</si>
  <si>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</si>
  <si>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</si>
  <si>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</si>
  <si>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</si>
  <si>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</si>
  <si>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</si>
  <si>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</si>
  <si>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</si>
  <si>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</si>
  <si>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</si>
  <si>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</si>
  <si>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</si>
  <si>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</si>
  <si>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</si>
  <si>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</si>
  <si>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</si>
  <si>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</si>
  <si>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</si>
  <si>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</si>
  <si>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</si>
  <si>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</si>
  <si>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</si>
  <si>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</si>
  <si>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</si>
  <si>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</si>
  <si>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</si>
  <si>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</si>
  <si>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</si>
  <si>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</si>
  <si>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</si>
  <si>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</si>
  <si>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</si>
  <si>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</si>
  <si>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</si>
  <si>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</si>
  <si>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</si>
  <si>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</si>
  <si>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</si>
  <si>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</si>
  <si>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</si>
  <si>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</si>
  <si>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</si>
  <si>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</si>
  <si>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</si>
  <si>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</si>
  <si>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</si>
  <si>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</si>
  <si>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</si>
  <si>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</si>
  <si>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</si>
  <si>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</si>
  <si>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</si>
  <si>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</si>
  <si>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</si>
  <si>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</si>
  <si>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</si>
  <si>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</si>
  <si>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</si>
  <si>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</si>
  <si>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</si>
  <si>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</si>
  <si>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</si>
  <si>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</si>
  <si>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</si>
  <si>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</si>
  <si>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</si>
  <si>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</si>
  <si>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</si>
  <si>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</si>
  <si>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</si>
  <si>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</si>
  <si>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</si>
  <si>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</si>
  <si>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</si>
  <si>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</si>
  <si>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</si>
  <si>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</si>
  <si>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</si>
  <si>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</si>
  <si>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</si>
  <si>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</si>
  <si>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</si>
  <si>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</si>
  <si>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</si>
  <si>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</si>
  <si>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</si>
  <si>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</si>
  <si>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</si>
  <si>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</si>
  <si>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</si>
  <si>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</si>
  <si>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</si>
  <si>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</si>
  <si>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</si>
  <si>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</si>
  <si>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</si>
  <si>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</si>
  <si>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</si>
  <si>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</si>
  <si>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</si>
  <si>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</si>
  <si>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</si>
  <si>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</si>
  <si>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</si>
  <si>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</si>
  <si>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</si>
  <si>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</si>
  <si>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</si>
  <si>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</si>
  <si>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</si>
  <si>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</si>
  <si>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</si>
  <si>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</si>
  <si>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</si>
  <si>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</si>
  <si>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</si>
  <si>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</si>
  <si>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</si>
  <si>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</si>
  <si>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</si>
  <si>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</si>
  <si>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</si>
  <si>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</si>
  <si>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</si>
  <si>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</si>
  <si>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</si>
  <si>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</si>
  <si>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</si>
  <si>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</si>
  <si>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</si>
  <si>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</si>
  <si>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</si>
  <si>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</si>
  <si>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</si>
  <si>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</si>
  <si>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</si>
  <si>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</si>
  <si>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</si>
  <si>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</si>
  <si>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</si>
  <si>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</si>
  <si>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</si>
  <si>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</si>
  <si>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</si>
  <si>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</si>
  <si>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</si>
  <si>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</si>
  <si>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</si>
  <si>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</si>
  <si>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</si>
  <si>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</si>
  <si>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</si>
  <si>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</si>
  <si>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</si>
  <si>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</si>
  <si>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</si>
  <si>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</si>
  <si>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</si>
  <si>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</si>
  <si>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</si>
  <si>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</si>
  <si>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</si>
  <si>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</si>
  <si>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</si>
  <si>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</si>
  <si>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</si>
  <si>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</si>
  <si>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</si>
  <si>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</si>
  <si>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</si>
  <si>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</si>
  <si>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</si>
  <si>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</si>
  <si>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</si>
  <si>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</si>
  <si>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</si>
  <si>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</si>
  <si>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</si>
  <si>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</si>
  <si>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</si>
  <si>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</si>
  <si>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</si>
  <si>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</si>
  <si>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</si>
  <si>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</si>
  <si>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</si>
  <si>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</si>
  <si>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</si>
  <si>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</si>
  <si>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</si>
  <si>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</si>
  <si>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</si>
  <si>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</si>
  <si>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</si>
  <si>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</si>
  <si>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</si>
  <si>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</si>
  <si>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</si>
  <si>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</si>
  <si>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</si>
  <si>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</si>
  <si>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</si>
  <si>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</si>
  <si>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</si>
  <si>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</si>
  <si>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</si>
  <si>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</si>
  <si>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</si>
  <si>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</si>
  <si>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</si>
  <si>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</si>
  <si>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</si>
  <si>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</si>
  <si>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</si>
  <si>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</si>
  <si>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</si>
  <si>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</si>
  <si>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</si>
  <si>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</si>
  <si>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</si>
  <si>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</si>
  <si>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</si>
  <si>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</si>
  <si>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</si>
  <si>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</si>
  <si>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</si>
  <si>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</si>
  <si>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</si>
  <si>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</si>
  <si>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</si>
  <si>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</si>
  <si>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</si>
  <si>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</si>
  <si>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</si>
  <si>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</si>
  <si>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</si>
  <si>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</si>
  <si>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</si>
  <si>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</si>
  <si>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</si>
  <si>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</si>
  <si>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</si>
  <si>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</si>
  <si>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</si>
  <si>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</si>
  <si>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</si>
  <si>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</si>
  <si>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</si>
  <si>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</si>
  <si>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</si>
  <si>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</si>
  <si>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</si>
  <si>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</si>
  <si>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</si>
  <si>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</si>
  <si>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</si>
  <si>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</si>
  <si>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</si>
  <si>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</si>
  <si>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</si>
  <si>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</si>
  <si>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</si>
  <si>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</si>
  <si>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</si>
  <si>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</si>
  <si>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</si>
  <si>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</si>
  <si>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</si>
  <si>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</si>
  <si>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</si>
  <si>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</si>
  <si>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</si>
  <si>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</si>
  <si>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</si>
  <si>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</si>
  <si>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</si>
  <si>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</si>
  <si>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</si>
  <si>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</si>
  <si>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</si>
  <si>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</si>
  <si>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</si>
  <si>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</si>
  <si>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</si>
  <si>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</si>
  <si>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</si>
  <si>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</si>
  <si>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</si>
  <si>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</si>
  <si>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</si>
  <si>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</si>
  <si>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</si>
  <si>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</si>
  <si>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</si>
  <si>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</si>
  <si>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</si>
  <si>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</si>
  <si>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</si>
  <si>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</si>
  <si>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</si>
  <si>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</si>
  <si>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</si>
  <si>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</si>
  <si>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</si>
  <si>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</si>
  <si>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</si>
  <si>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</si>
  <si>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</si>
  <si>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</si>
  <si>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</si>
  <si>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</si>
  <si>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</si>
  <si>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</si>
  <si>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</si>
  <si>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</si>
  <si>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</si>
  <si>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</si>
  <si>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</si>
  <si>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</si>
  <si>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</si>
  <si>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</si>
  <si>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</si>
  <si>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</si>
  <si>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</si>
  <si>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</si>
  <si>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</si>
  <si>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</si>
  <si>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</si>
  <si>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</si>
  <si>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</si>
  <si>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</si>
  <si>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</si>
  <si>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</si>
  <si>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</si>
  <si>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</si>
  <si>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</si>
  <si>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</si>
  <si>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</si>
  <si>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</si>
  <si>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</si>
  <si>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</si>
  <si>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</si>
  <si>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</si>
  <si>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</si>
  <si>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</si>
  <si>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</si>
  <si>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</si>
  <si>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</si>
  <si>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</si>
  <si>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</si>
  <si>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</si>
  <si>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</si>
  <si>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</si>
  <si>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</si>
  <si>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</si>
  <si>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</si>
  <si>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</si>
  <si>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</si>
  <si>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</si>
  <si>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</si>
  <si>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</si>
  <si>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</si>
  <si>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</si>
  <si>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</si>
  <si>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</si>
  <si>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</si>
  <si>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</si>
  <si>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</si>
  <si>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</si>
  <si>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</si>
  <si>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</si>
  <si>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</si>
  <si>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</si>
  <si>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</si>
  <si>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</si>
  <si>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</si>
  <si>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</si>
  <si>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</si>
  <si>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</si>
  <si>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</si>
  <si>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</si>
  <si>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</si>
  <si>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</si>
  <si>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</si>
  <si>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</si>
  <si>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</si>
  <si>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</si>
  <si>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</si>
  <si>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</si>
  <si>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</si>
  <si>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</si>
  <si>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</si>
  <si>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</si>
  <si>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</si>
  <si>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</si>
  <si>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</si>
  <si>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</si>
  <si>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</si>
  <si>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</si>
  <si>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</si>
  <si>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</si>
  <si>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</si>
  <si>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</si>
  <si>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</si>
  <si>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</si>
  <si>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</si>
  <si>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</si>
  <si>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</si>
  <si>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</si>
  <si>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</si>
  <si>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</si>
  <si>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</si>
  <si>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</si>
  <si>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</si>
  <si>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</si>
  <si>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</si>
  <si>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</si>
  <si>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</si>
  <si>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</si>
  <si>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</si>
  <si>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</si>
  <si>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</si>
  <si>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</si>
  <si>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</si>
  <si>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</si>
  <si>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</si>
  <si>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</si>
  <si>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</si>
  <si>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</si>
  <si>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</si>
  <si>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</si>
  <si>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</si>
  <si>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</si>
  <si>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</si>
  <si>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</si>
  <si>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</si>
  <si>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</si>
  <si>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</si>
  <si>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</si>
  <si>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</si>
  <si>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</si>
  <si>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</si>
  <si>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</si>
  <si>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</si>
  <si>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</si>
  <si>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</si>
  <si>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</si>
  <si>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</si>
  <si>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</si>
  <si>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</si>
  <si>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</si>
  <si>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</si>
  <si>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</si>
  <si>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</si>
  <si>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</si>
  <si>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</si>
  <si>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</si>
  <si>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</si>
  <si>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</si>
  <si>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</si>
  <si>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</si>
  <si>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</si>
  <si>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</si>
  <si>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</si>
  <si>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</si>
  <si>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</si>
  <si>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</si>
  <si>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</si>
  <si>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</si>
  <si>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</si>
  <si>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</si>
  <si>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</si>
  <si>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</si>
  <si>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</si>
  <si>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</si>
  <si>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</si>
  <si>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</si>
  <si>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</si>
  <si>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</si>
  <si>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</si>
  <si>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</si>
  <si>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</si>
  <si>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</si>
  <si>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</si>
  <si>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</si>
  <si>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</si>
  <si>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</si>
  <si>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</si>
  <si>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</si>
  <si>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</si>
  <si>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</si>
  <si>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</si>
  <si>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</si>
  <si>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</si>
  <si>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</si>
  <si>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</si>
  <si>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</si>
  <si>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</si>
  <si>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</si>
  <si>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</si>
  <si>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</si>
  <si>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</si>
  <si>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</si>
  <si>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</si>
  <si>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</si>
  <si>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</si>
  <si>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</si>
  <si>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</si>
  <si>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</si>
  <si>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</si>
  <si>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</si>
  <si>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</si>
  <si>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</si>
  <si>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</si>
  <si>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</si>
  <si>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</si>
  <si>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</si>
  <si>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</si>
  <si>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</si>
  <si>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</si>
  <si>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</si>
  <si>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</si>
  <si>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</si>
  <si>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</si>
  <si>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</si>
  <si>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</si>
  <si>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</si>
  <si>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</si>
  <si>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</si>
  <si>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</si>
  <si>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</si>
  <si>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</si>
  <si>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</si>
  <si>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</si>
  <si>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</si>
  <si>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</si>
  <si>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</si>
  <si>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</si>
  <si>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</si>
  <si>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</si>
  <si>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</si>
  <si>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</si>
  <si>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</si>
  <si>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</si>
  <si>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</si>
  <si>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</si>
  <si>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</si>
  <si>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</si>
  <si>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</si>
  <si>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</si>
  <si>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</si>
  <si>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</si>
  <si>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</si>
  <si>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</si>
  <si>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</si>
  <si>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</si>
  <si>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</si>
  <si>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</si>
  <si>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</si>
  <si>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</si>
  <si>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</si>
  <si>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</si>
  <si>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</si>
  <si>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</si>
  <si>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</si>
  <si>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</si>
  <si>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</si>
  <si>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</si>
  <si>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</si>
  <si>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</si>
  <si>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</si>
  <si>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</si>
  <si>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</si>
  <si>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</si>
  <si>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</si>
  <si>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</si>
  <si>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</si>
  <si>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</si>
  <si>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</si>
  <si>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</si>
  <si>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</si>
  <si>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</si>
  <si>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</si>
  <si>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</si>
  <si>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</si>
  <si>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</si>
  <si>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</si>
  <si>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</si>
  <si>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</si>
  <si>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</si>
  <si>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</si>
  <si>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</si>
  <si>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</si>
  <si>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</si>
  <si>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</si>
  <si>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</si>
  <si>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</si>
  <si>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</si>
  <si>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</si>
  <si>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</si>
  <si>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</si>
  <si>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</si>
  <si>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</si>
  <si>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</si>
  <si>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</si>
  <si>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</si>
  <si>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</si>
  <si>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</si>
  <si>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</si>
  <si>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</si>
  <si>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</si>
  <si>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</si>
  <si>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</si>
  <si>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</si>
  <si>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</si>
  <si>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</si>
  <si>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</si>
  <si>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</si>
  <si>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</si>
  <si>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</si>
  <si>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</si>
  <si>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</si>
  <si>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</si>
  <si>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</si>
  <si>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</si>
  <si>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</si>
  <si>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</si>
  <si>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</si>
  <si>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</si>
  <si>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</si>
  <si>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</si>
  <si>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</si>
  <si>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</si>
  <si>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</si>
  <si>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</si>
  <si>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</si>
  <si>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</si>
  <si>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</si>
  <si>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</si>
  <si>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</si>
  <si>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</si>
  <si>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</si>
  <si>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</si>
  <si>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</si>
  <si>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</si>
  <si>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</si>
  <si>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</si>
  <si>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</si>
  <si>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</si>
  <si>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</si>
  <si>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</si>
  <si>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</si>
  <si>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</si>
  <si>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</si>
  <si>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</si>
  <si>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</si>
  <si>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</si>
  <si>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</si>
  <si>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</si>
  <si>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</si>
  <si>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</si>
  <si>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</si>
  <si>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</si>
  <si>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</si>
  <si>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</si>
  <si>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</si>
  <si>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</si>
  <si>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</si>
  <si>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</si>
  <si>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</si>
  <si>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</si>
  <si>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</si>
  <si>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</si>
  <si>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</si>
  <si>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</si>
  <si>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</si>
  <si>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</si>
  <si>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</si>
  <si>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</si>
  <si>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</si>
  <si>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</si>
  <si>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</si>
  <si>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</si>
  <si>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</si>
  <si>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</si>
  <si>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</si>
  <si>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</si>
  <si>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</si>
  <si>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</si>
  <si>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</si>
  <si>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</si>
  <si>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</si>
  <si>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</si>
  <si>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</si>
  <si>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</si>
  <si>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</si>
  <si>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</si>
  <si>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</si>
  <si>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</si>
  <si>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</si>
  <si>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</si>
  <si>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</si>
  <si>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</si>
  <si>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</si>
  <si>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</si>
  <si>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</si>
  <si>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</si>
  <si>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</si>
  <si>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</si>
  <si>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</si>
  <si>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</si>
  <si>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</si>
  <si>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</si>
  <si>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</si>
  <si>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</si>
  <si>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</si>
  <si>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</si>
  <si>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</si>
  <si>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</si>
  <si>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</si>
  <si>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</si>
  <si>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</si>
  <si>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</si>
  <si>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</si>
  <si>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</si>
  <si>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</si>
  <si>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</si>
  <si>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</si>
  <si>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</si>
  <si>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</si>
  <si>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</si>
  <si>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</si>
  <si>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</si>
  <si>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</si>
  <si>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</si>
  <si>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</si>
  <si>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</si>
  <si>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</si>
  <si>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</si>
  <si>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</si>
  <si>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</si>
  <si>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</si>
  <si>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</si>
  <si>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</si>
  <si>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</si>
  <si>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</si>
  <si>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</si>
  <si>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</si>
  <si>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</si>
  <si>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</si>
  <si>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</si>
  <si>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</si>
  <si>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</si>
  <si>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</si>
  <si>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</si>
  <si>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</si>
  <si>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</si>
  <si>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</si>
  <si>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</si>
  <si>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</si>
  <si>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</si>
  <si>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</si>
  <si>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</si>
  <si>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</si>
  <si>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</si>
  <si>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</si>
  <si>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</si>
  <si>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</si>
  <si>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</si>
  <si>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</si>
  <si>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</si>
  <si>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</si>
  <si>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</si>
  <si>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</si>
  <si>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</si>
  <si>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</si>
  <si>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</si>
  <si>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</si>
  <si>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</si>
  <si>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</si>
  <si>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</si>
  <si>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</si>
  <si>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</si>
  <si>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</si>
  <si>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</si>
  <si>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</si>
  <si>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</si>
  <si>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</si>
  <si>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</si>
  <si>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</si>
  <si>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</si>
  <si>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</si>
  <si>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</si>
  <si>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</si>
  <si>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</si>
  <si>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</si>
  <si>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</si>
  <si>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</si>
  <si>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</si>
  <si>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</si>
  <si>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</si>
  <si>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</si>
  <si>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</si>
  <si>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</si>
  <si>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</si>
  <si>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</si>
  <si>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</si>
  <si>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</si>
  <si>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</si>
  <si>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</si>
  <si>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</si>
  <si>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</si>
  <si>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</si>
  <si>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</si>
  <si>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</si>
  <si>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</si>
  <si>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</si>
  <si>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</si>
  <si>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</si>
  <si>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</si>
  <si>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</si>
  <si>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</si>
  <si>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</si>
  <si>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</si>
  <si>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</si>
  <si>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</si>
  <si>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</si>
  <si>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</si>
  <si>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</si>
  <si>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</si>
  <si>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</si>
  <si>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</si>
  <si>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</si>
  <si>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</si>
  <si>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</si>
  <si>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</si>
  <si>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</si>
  <si>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</si>
  <si>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</si>
  <si>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</si>
  <si>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</si>
  <si>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</si>
  <si>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</si>
  <si>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</si>
  <si>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</si>
  <si>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</si>
  <si>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</si>
  <si>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</si>
  <si>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</si>
  <si>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</si>
  <si>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</si>
  <si>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</si>
  <si>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</si>
  <si>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</si>
  <si>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</si>
  <si>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</si>
  <si>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</si>
  <si>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</si>
  <si>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</si>
  <si>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</si>
  <si>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</si>
  <si>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</si>
  <si>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</si>
  <si>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</si>
  <si>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</si>
  <si>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</si>
  <si>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</si>
  <si>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</si>
  <si>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</si>
  <si>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</si>
  <si>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</si>
  <si>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</si>
  <si>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</si>
  <si>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</si>
  <si>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</si>
  <si>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</si>
  <si>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</si>
  <si>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</si>
  <si>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</si>
  <si>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</si>
  <si>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</si>
  <si>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</si>
  <si>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</si>
  <si>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</si>
  <si>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</si>
  <si>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</si>
  <si>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</si>
  <si>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</si>
  <si>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</si>
  <si>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</si>
  <si>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</si>
  <si>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</si>
  <si>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</si>
  <si>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</si>
  <si>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</si>
  <si>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</si>
  <si>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</si>
  <si>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</si>
  <si>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</si>
  <si>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</si>
  <si>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</si>
  <si>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</si>
  <si>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</si>
  <si>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</si>
  <si>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</si>
  <si>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</si>
  <si>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</si>
  <si>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</si>
  <si>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</si>
  <si>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</si>
  <si>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</si>
  <si>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</si>
  <si>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</si>
  <si>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</si>
  <si>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</si>
  <si>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</si>
  <si>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</si>
  <si>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</si>
  <si>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</si>
  <si>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</si>
  <si>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</si>
  <si>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</si>
  <si>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</si>
  <si>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</si>
  <si>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</si>
  <si>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</si>
  <si>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</si>
  <si>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</si>
  <si>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</si>
  <si>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</si>
  <si>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</si>
  <si>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</si>
  <si>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</si>
  <si>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</si>
  <si>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</si>
  <si>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</si>
  <si>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</si>
  <si>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</si>
  <si>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</si>
  <si>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</si>
  <si>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</si>
  <si>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</si>
  <si>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</si>
  <si>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</si>
  <si>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</si>
  <si>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</si>
  <si>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</si>
  <si>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</si>
  <si>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</si>
  <si>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</si>
  <si>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</si>
  <si>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</si>
  <si>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</si>
  <si>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</si>
  <si>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</si>
  <si>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</si>
  <si>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</si>
  <si>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</si>
  <si>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</si>
  <si>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</si>
  <si>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</si>
  <si>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</si>
  <si>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</si>
  <si>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</si>
  <si>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</si>
  <si>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</si>
  <si>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</si>
  <si>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</si>
  <si>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</si>
  <si>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</si>
  <si>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</si>
  <si>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</si>
  <si>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</si>
  <si>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</si>
  <si>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</si>
  <si>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</si>
  <si>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</si>
  <si>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</si>
  <si>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</si>
  <si>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</si>
  <si>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</si>
  <si>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</si>
  <si>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</si>
  <si>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</si>
  <si>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</si>
  <si>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</si>
  <si>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</si>
  <si>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</si>
  <si>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</si>
  <si>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</si>
  <si>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</si>
  <si>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</si>
  <si>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</si>
  <si>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</si>
  <si>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</si>
  <si>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</si>
  <si>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</si>
  <si>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</si>
  <si>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</si>
  <si>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</si>
  <si>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</si>
  <si>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</si>
  <si>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</si>
  <si>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</si>
  <si>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</si>
  <si>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</si>
  <si>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</si>
  <si>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</si>
  <si>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</si>
  <si>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</si>
  <si>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</si>
  <si>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</si>
  <si>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</si>
  <si>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</si>
  <si>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</si>
  <si>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</si>
  <si>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</si>
  <si>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</si>
  <si>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</si>
  <si>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</si>
  <si>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</si>
  <si>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</si>
  <si>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</si>
  <si>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</si>
  <si>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</si>
  <si>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</si>
  <si>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</si>
  <si>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</si>
  <si>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</si>
  <si>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</si>
  <si>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</si>
  <si>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</si>
  <si>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</si>
  <si>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</si>
  <si>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</si>
  <si>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</si>
  <si>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</si>
  <si>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</si>
  <si>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</si>
  <si>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</si>
  <si>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</si>
  <si>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</si>
  <si>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</si>
  <si>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</si>
  <si>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</si>
  <si>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</si>
  <si>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</si>
  <si>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</si>
  <si>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</si>
  <si>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</si>
  <si>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</si>
  <si>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</si>
  <si>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</si>
  <si>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</si>
  <si>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</si>
  <si>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</si>
  <si>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</si>
  <si>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</si>
  <si>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</si>
  <si>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</si>
  <si>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</si>
  <si>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</si>
  <si>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</si>
  <si>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</si>
  <si>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</si>
  <si>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</si>
  <si>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</si>
  <si>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</si>
  <si>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</si>
  <si>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</si>
  <si>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</si>
  <si>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</si>
  <si>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</si>
  <si>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</si>
  <si>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</si>
  <si>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</si>
  <si>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</si>
  <si>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</si>
  <si>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</si>
  <si>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</si>
  <si>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</si>
  <si>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</si>
  <si>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</si>
  <si>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</si>
  <si>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</si>
  <si>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</si>
  <si>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</si>
  <si>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</si>
  <si>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</si>
  <si>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</si>
  <si>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</si>
  <si>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</si>
  <si>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</si>
  <si>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</si>
  <si>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</si>
  <si>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</si>
  <si>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</si>
  <si>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</si>
  <si>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</si>
  <si>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</si>
  <si>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</si>
  <si>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</si>
  <si>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</si>
  <si>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</si>
  <si>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</si>
  <si>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</si>
  <si>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</si>
  <si>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</si>
  <si>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</si>
  <si>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</si>
  <si>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</si>
  <si>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</si>
  <si>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</si>
  <si>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</si>
  <si>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</si>
  <si>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</si>
  <si>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</si>
  <si>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</si>
  <si>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</si>
  <si>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</si>
  <si>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</si>
  <si>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</si>
  <si>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</si>
  <si>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</si>
  <si>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</si>
  <si>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</si>
  <si>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</si>
  <si>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</si>
  <si>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</si>
  <si>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</si>
  <si>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</si>
  <si>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</si>
  <si>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</si>
  <si>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</si>
  <si>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</si>
  <si>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</si>
  <si>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</si>
  <si>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</si>
  <si>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</si>
  <si>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</si>
  <si>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</si>
  <si>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</si>
  <si>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</si>
  <si>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</si>
  <si>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</si>
  <si>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</si>
  <si>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</si>
  <si>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</si>
  <si>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</si>
  <si>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</si>
  <si>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</si>
  <si>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</si>
  <si>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</si>
  <si>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</si>
  <si>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</si>
  <si>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</si>
  <si>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</si>
  <si>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</si>
  <si>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</si>
  <si>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</si>
  <si>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</si>
  <si>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</si>
  <si>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</si>
  <si>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</si>
  <si>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</si>
  <si>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</si>
  <si>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</si>
  <si>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</si>
  <si>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</si>
  <si>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</si>
  <si>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</si>
  <si>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</si>
  <si>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</si>
  <si>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</si>
  <si>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</si>
  <si>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</si>
  <si>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</si>
  <si>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</si>
  <si>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</si>
  <si>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</si>
  <si>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</si>
  <si>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</si>
  <si>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</si>
  <si>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</si>
  <si>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</si>
  <si>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</si>
  <si>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</si>
  <si>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</si>
  <si>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</si>
  <si>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</si>
  <si>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</si>
  <si>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</si>
  <si>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</si>
  <si>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</si>
  <si>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</si>
  <si>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</si>
  <si>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</si>
  <si>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</si>
  <si>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</si>
  <si>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</si>
  <si>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</si>
  <si>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</si>
  <si>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</si>
  <si>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</si>
  <si>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</si>
  <si>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</si>
  <si>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</si>
  <si>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</si>
  <si>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</si>
  <si>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</si>
  <si>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</si>
  <si>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</si>
  <si>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</si>
  <si>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</si>
  <si>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</si>
  <si>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</si>
  <si>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</si>
  <si>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</si>
  <si>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</si>
  <si>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</si>
  <si>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</si>
  <si>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</si>
  <si>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</si>
  <si>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</si>
  <si>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</si>
  <si>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</si>
  <si>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</si>
  <si>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</si>
  <si>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</si>
  <si>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</si>
  <si>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</si>
  <si>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</si>
  <si>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</si>
  <si>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</si>
  <si>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</si>
  <si>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</si>
  <si>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</si>
  <si>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</si>
  <si>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</si>
  <si>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</si>
  <si>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</si>
  <si>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</si>
  <si>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</si>
  <si>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</si>
  <si>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</si>
  <si>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</si>
  <si>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</si>
  <si>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</si>
  <si>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</si>
  <si>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</si>
  <si>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</si>
  <si>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</si>
  <si>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</si>
  <si>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</si>
  <si>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</si>
  <si>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</si>
  <si>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</si>
  <si>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</si>
  <si>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</si>
  <si>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</si>
  <si>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</si>
  <si>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</si>
  <si>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</si>
  <si>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</si>
  <si>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</si>
  <si>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</si>
  <si>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</si>
  <si>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</si>
  <si>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</si>
  <si>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</si>
  <si>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</si>
  <si>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</si>
  <si>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</si>
  <si>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</si>
  <si>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</si>
  <si>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</si>
  <si>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</si>
  <si>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</si>
  <si>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</si>
  <si>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</si>
  <si>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</si>
  <si>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</si>
  <si>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</si>
  <si>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</si>
  <si>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</si>
  <si>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</si>
  <si>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</si>
  <si>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</si>
  <si>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</si>
  <si>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</si>
  <si>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</si>
  <si>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</si>
  <si>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</si>
  <si>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</si>
  <si>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</si>
  <si>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</si>
  <si>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</si>
  <si>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</si>
  <si>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</si>
  <si>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</si>
  <si>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</si>
  <si>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</si>
  <si>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</si>
  <si>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</si>
  <si>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</si>
  <si>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</si>
  <si>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</si>
  <si>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</si>
  <si>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</si>
  <si>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</si>
  <si>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</si>
  <si>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</si>
  <si>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</si>
  <si>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</si>
  <si>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</si>
  <si>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</si>
  <si>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</si>
  <si>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</si>
  <si>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</si>
  <si>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</si>
  <si>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</si>
  <si>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</si>
  <si>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</si>
  <si>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</si>
  <si>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</si>
  <si>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</si>
  <si>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</si>
  <si>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</si>
  <si>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</si>
  <si>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</si>
  <si>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</si>
  <si>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</si>
  <si>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</si>
  <si>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</si>
  <si>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</si>
  <si>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</si>
  <si>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</si>
  <si>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</si>
  <si>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</si>
  <si>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</si>
  <si>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</si>
  <si>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</si>
  <si>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</si>
  <si>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</si>
  <si>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</si>
  <si>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</si>
  <si>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</si>
  <si>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</si>
  <si>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</si>
  <si>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</si>
  <si>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</si>
  <si>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</si>
  <si>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</si>
  <si>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</si>
  <si>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</si>
  <si>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</si>
  <si>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</si>
  <si>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</si>
  <si>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</si>
  <si>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</si>
  <si>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</si>
  <si>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</si>
  <si>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</si>
  <si>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</si>
  <si>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</si>
  <si>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</si>
  <si>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</si>
  <si>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</si>
  <si>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</si>
  <si>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</si>
  <si>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</si>
  <si>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</si>
  <si>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</si>
  <si>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</si>
  <si>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</si>
  <si>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</si>
  <si>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</si>
  <si>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</si>
  <si>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</si>
  <si>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</si>
  <si>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</si>
  <si>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</si>
  <si>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</si>
  <si>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</si>
  <si>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</si>
  <si>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</si>
  <si>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</si>
  <si>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</si>
  <si>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</si>
  <si>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</si>
  <si>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</si>
  <si>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</si>
  <si>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</si>
  <si>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</si>
  <si>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</si>
  <si>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</si>
  <si>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</si>
  <si>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</si>
  <si>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</si>
  <si>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</si>
  <si>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</si>
  <si>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</si>
  <si>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</si>
  <si>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</si>
  <si>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</si>
  <si>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</si>
  <si>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</si>
  <si>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</si>
  <si>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</si>
  <si>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</si>
  <si>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</si>
  <si>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</si>
  <si>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</si>
  <si>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</si>
  <si>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</si>
  <si>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</si>
  <si>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</si>
  <si>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</si>
  <si>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</si>
  <si>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</si>
  <si>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</si>
  <si>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</si>
  <si>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</si>
  <si>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</si>
  <si>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</si>
  <si>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</si>
  <si>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</si>
  <si>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</si>
  <si>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</si>
  <si>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</si>
  <si>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</si>
  <si>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</si>
  <si>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</si>
  <si>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</si>
  <si>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</si>
  <si>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</si>
  <si>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</si>
  <si>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</si>
  <si>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</si>
  <si>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</si>
  <si>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</si>
  <si>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</si>
  <si>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</si>
  <si>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</si>
  <si>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</si>
  <si>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</si>
  <si>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</si>
  <si>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</si>
  <si>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</si>
  <si>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</si>
  <si>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</si>
  <si>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</si>
  <si>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</si>
  <si>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</si>
  <si>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</si>
  <si>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</si>
  <si>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</si>
  <si>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</si>
  <si>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</si>
  <si>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</si>
  <si>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</si>
  <si>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</si>
  <si>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</si>
  <si>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</si>
  <si>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</si>
  <si>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</si>
  <si>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</si>
  <si>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</si>
  <si>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</si>
  <si>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</si>
  <si>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</si>
  <si>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</si>
  <si>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</si>
  <si>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</si>
  <si>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</si>
  <si>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</si>
  <si>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</si>
  <si>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</si>
  <si>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</si>
  <si>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</si>
  <si>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</si>
  <si>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</si>
  <si>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</si>
  <si>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</si>
  <si>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</si>
  <si>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</si>
  <si>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</si>
  <si>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</si>
  <si>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</si>
  <si>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</si>
  <si>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</si>
  <si>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</si>
  <si>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</si>
  <si>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</si>
  <si>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</si>
  <si>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</si>
  <si>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</si>
  <si>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</si>
  <si>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</si>
  <si>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</si>
  <si>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</si>
  <si>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</si>
  <si>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</si>
  <si>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</si>
  <si>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</si>
  <si>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</si>
  <si>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</si>
  <si>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</si>
  <si>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</si>
  <si>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</si>
  <si>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</si>
  <si>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</si>
  <si>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</si>
  <si>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</si>
  <si>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</si>
  <si>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</si>
  <si>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</si>
  <si>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</si>
  <si>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</si>
  <si>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</si>
  <si>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</si>
  <si>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</si>
  <si>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</si>
  <si>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</si>
  <si>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</si>
  <si>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</si>
  <si>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</si>
  <si>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</si>
  <si>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</si>
  <si>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</si>
  <si>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</si>
  <si>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</si>
  <si>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</si>
  <si>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</si>
  <si>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</si>
  <si>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</si>
  <si>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</si>
  <si>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</si>
  <si>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</si>
  <si>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</si>
  <si>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</si>
  <si>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</si>
  <si>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</si>
  <si>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</si>
  <si>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</si>
  <si>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</si>
  <si>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</si>
  <si>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</si>
  <si>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</si>
  <si>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</si>
  <si>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</si>
  <si>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</si>
  <si>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</si>
  <si>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</si>
  <si>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</si>
  <si>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</si>
  <si>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</si>
  <si>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</si>
  <si>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</si>
  <si>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</si>
  <si>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</si>
  <si>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</si>
  <si>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</si>
  <si>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</si>
  <si>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</si>
  <si>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</si>
  <si>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</si>
  <si>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</si>
  <si>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</si>
  <si>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</si>
  <si>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</si>
  <si>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</si>
  <si>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</si>
  <si>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</si>
  <si>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</si>
  <si>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</si>
  <si>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</si>
  <si>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</si>
  <si>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</si>
  <si>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</si>
  <si>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</si>
  <si>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</si>
  <si>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</si>
  <si>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</si>
  <si>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</si>
  <si>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</si>
  <si>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</si>
  <si>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</si>
  <si>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</si>
  <si>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</si>
  <si>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</si>
  <si>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</si>
  <si>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</si>
  <si>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</si>
  <si>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</si>
  <si>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</si>
  <si>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</si>
  <si>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</si>
  <si>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</si>
  <si>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</si>
  <si>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</si>
  <si>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</si>
  <si>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</si>
  <si>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</si>
  <si>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</si>
  <si>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</si>
  <si>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</si>
  <si>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</si>
  <si>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</si>
  <si>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</si>
  <si>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</si>
  <si>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</si>
  <si>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</si>
  <si>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</si>
  <si>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</si>
  <si>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</si>
  <si>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</si>
  <si>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</si>
  <si>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</si>
  <si>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</si>
  <si>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</si>
  <si>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</si>
  <si>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</si>
  <si>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</si>
  <si>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</si>
  <si>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</si>
  <si>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</si>
  <si>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</si>
  <si>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</si>
  <si>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</si>
  <si>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</si>
  <si>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</si>
  <si>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</si>
  <si>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</si>
  <si>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</si>
  <si>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</si>
  <si>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</si>
  <si>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</si>
  <si>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</si>
  <si>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</si>
  <si>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</si>
  <si>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</si>
  <si>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</si>
  <si>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</si>
  <si>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</si>
  <si>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</si>
  <si>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</si>
  <si>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</si>
  <si>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</si>
  <si>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</si>
  <si>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</si>
  <si>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</si>
  <si>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</si>
  <si>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</si>
  <si>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</si>
  <si>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</si>
  <si>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</si>
  <si>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</si>
  <si>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</si>
  <si>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</si>
  <si>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</si>
  <si>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</si>
  <si>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</si>
  <si>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</si>
  <si>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</si>
  <si>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</si>
  <si>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</si>
  <si>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</si>
  <si>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</si>
  <si>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</si>
  <si>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</si>
  <si>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</si>
  <si>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</si>
  <si>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</si>
  <si>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</si>
  <si>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</si>
  <si>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</si>
  <si>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</si>
  <si>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</si>
  <si>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</si>
  <si>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</si>
  <si>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</si>
  <si>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</si>
  <si>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</si>
  <si>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</si>
  <si>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</si>
  <si>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</si>
  <si>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</si>
  <si>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</si>
  <si>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</si>
  <si>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</si>
  <si>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</si>
  <si>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</si>
  <si>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</si>
  <si>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</si>
  <si>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</si>
  <si>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</si>
  <si>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</si>
  <si>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</si>
  <si>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</si>
  <si>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</si>
  <si>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</si>
  <si>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</si>
  <si>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</si>
  <si>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</si>
  <si>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</si>
  <si>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</si>
  <si>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</si>
  <si>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</si>
  <si>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</si>
  <si>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</si>
  <si>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</si>
  <si>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</si>
  <si>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</si>
  <si>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</si>
  <si>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</si>
  <si>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</si>
  <si>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</si>
  <si>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</si>
  <si>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</si>
  <si>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</si>
  <si>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</si>
  <si>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</si>
  <si>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</si>
  <si>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</si>
  <si>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</si>
  <si>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</si>
  <si>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</si>
  <si>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</si>
  <si>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</si>
  <si>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</si>
  <si>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</si>
  <si>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</si>
  <si>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</si>
  <si>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</si>
  <si>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</si>
  <si>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</si>
  <si>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</si>
  <si>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</si>
  <si>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</si>
  <si>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</si>
  <si>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</si>
  <si>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</si>
  <si>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</si>
  <si>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</si>
  <si>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</si>
  <si>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</si>
  <si>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</si>
  <si>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</si>
  <si>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</si>
  <si>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</si>
  <si>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</si>
  <si>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</si>
  <si>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</si>
  <si>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</si>
  <si>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</si>
  <si>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</si>
  <si>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</si>
  <si>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</si>
  <si>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</si>
  <si>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</si>
  <si>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</si>
  <si>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</si>
  <si>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</si>
  <si>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</si>
  <si>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</si>
  <si>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</si>
  <si>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</si>
  <si>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</si>
  <si>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</si>
  <si>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</si>
  <si>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</si>
  <si>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</si>
  <si>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</si>
  <si>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</si>
  <si>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</si>
  <si>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</si>
  <si>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</si>
  <si>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</si>
  <si>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</si>
  <si>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</si>
  <si>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</si>
  <si>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</si>
  <si>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</si>
  <si>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</si>
  <si>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</si>
  <si>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</si>
  <si>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</si>
  <si>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</si>
  <si>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</si>
  <si>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</si>
  <si>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</si>
  <si>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</si>
  <si>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</si>
  <si>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</si>
  <si>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</si>
  <si>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</si>
  <si>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</si>
  <si>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</si>
  <si>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</si>
  <si>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</si>
  <si>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</si>
  <si>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</si>
  <si>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</si>
  <si>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</si>
  <si>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</si>
  <si>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</si>
  <si>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</si>
  <si>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</si>
  <si>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</si>
  <si>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</si>
  <si>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</si>
  <si>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</si>
  <si>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</si>
  <si>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</si>
  <si>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</si>
  <si>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</si>
  <si>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</si>
  <si>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</si>
  <si>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</si>
  <si>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</si>
  <si>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</si>
  <si>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</si>
  <si>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</si>
  <si>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</si>
  <si>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</si>
  <si>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</si>
  <si>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</si>
  <si>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</si>
  <si>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</si>
  <si>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</si>
  <si>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</si>
  <si>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</si>
  <si>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</si>
  <si>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</si>
  <si>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</si>
  <si>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</si>
  <si>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</si>
  <si>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</si>
  <si>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</si>
  <si>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</si>
  <si>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</si>
  <si>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</si>
  <si>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</si>
  <si>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</si>
  <si>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</si>
  <si>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</si>
  <si>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</si>
  <si>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</si>
  <si>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</si>
  <si>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</si>
  <si>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</si>
  <si>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</si>
  <si>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</si>
  <si>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</si>
  <si>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</si>
  <si>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</si>
  <si>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</si>
  <si>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</si>
  <si>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</si>
  <si>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</si>
  <si>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</si>
  <si>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</si>
  <si>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</si>
  <si>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</si>
  <si>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</si>
  <si>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</si>
  <si>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</si>
  <si>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</si>
  <si>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</si>
  <si>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</si>
  <si>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</si>
  <si>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</si>
  <si>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</si>
  <si>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</si>
  <si>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</si>
  <si>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</si>
  <si>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</si>
  <si>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</si>
  <si>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</si>
  <si>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</si>
  <si>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</si>
  <si>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</si>
  <si>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</si>
  <si>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</si>
  <si>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</si>
  <si>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</si>
  <si>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</si>
  <si>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</si>
  <si>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</si>
  <si>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</si>
  <si>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</si>
  <si>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</si>
  <si>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</si>
  <si>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</si>
  <si>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</si>
  <si>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</si>
  <si>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</si>
  <si>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</si>
  <si>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</si>
  <si>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</si>
  <si>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</si>
  <si>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</si>
  <si>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</si>
  <si>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</si>
  <si>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</si>
  <si>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</si>
  <si>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</si>
  <si>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</si>
  <si>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</si>
  <si>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</si>
  <si>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</si>
  <si>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</si>
  <si>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</si>
  <si>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</si>
  <si>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</si>
  <si>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</si>
  <si>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</si>
  <si>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</si>
  <si>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</si>
  <si>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</si>
  <si>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</si>
  <si>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</si>
  <si>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</si>
  <si>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</si>
  <si>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</si>
  <si>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</si>
  <si>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</si>
  <si>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</si>
  <si>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</si>
  <si>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</si>
  <si>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</si>
  <si>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</si>
  <si>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</si>
  <si>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</si>
  <si>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</si>
  <si>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</si>
  <si>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</si>
  <si>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</si>
  <si>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</si>
  <si>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</si>
  <si>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</si>
  <si>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</si>
  <si>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</si>
  <si>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</si>
  <si>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</si>
  <si>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</si>
  <si>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</si>
  <si>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</si>
  <si>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</si>
  <si>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</si>
  <si>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</si>
  <si>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</si>
  <si>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</si>
  <si>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</si>
  <si>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</si>
  <si>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</si>
  <si>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</si>
  <si>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</si>
  <si>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</si>
  <si>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</si>
  <si>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</si>
  <si>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</si>
  <si>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</si>
  <si>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</si>
  <si>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</si>
  <si>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</si>
  <si>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</si>
  <si>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</si>
  <si>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</si>
  <si>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</si>
  <si>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</si>
  <si>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</si>
  <si>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</si>
  <si>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</si>
  <si>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</si>
  <si>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</si>
  <si>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</si>
  <si>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</si>
  <si>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</si>
  <si>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</si>
  <si>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</si>
  <si>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</si>
  <si>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</si>
  <si>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</si>
  <si>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</si>
  <si>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</si>
  <si>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</si>
  <si>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</si>
  <si>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</si>
  <si>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</si>
  <si>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</si>
  <si>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</si>
  <si>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</si>
  <si>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</si>
  <si>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</si>
  <si>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</si>
  <si>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</si>
  <si>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</si>
  <si>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</si>
  <si>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</si>
  <si>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</si>
  <si>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</si>
  <si>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</si>
  <si>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</si>
  <si>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</si>
  <si>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</si>
  <si>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</si>
  <si>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</si>
  <si>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</si>
  <si>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</si>
  <si>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</si>
  <si>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</si>
  <si>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</si>
  <si>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</si>
  <si>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</si>
  <si>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</si>
  <si>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</si>
  <si>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</si>
  <si>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</si>
  <si>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</si>
  <si>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</si>
  <si>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</si>
  <si>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</si>
  <si>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</si>
  <si>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</si>
  <si>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</si>
  <si>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</si>
  <si>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</si>
  <si>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</si>
  <si>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</si>
  <si>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</si>
  <si>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</si>
  <si>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</si>
  <si>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</si>
  <si>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</si>
  <si>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</si>
  <si>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</si>
  <si>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</si>
  <si>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</si>
  <si>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</si>
  <si>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</si>
  <si>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</si>
  <si>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</si>
  <si>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</si>
  <si>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</si>
  <si>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</si>
  <si>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</si>
  <si>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</si>
  <si>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</si>
  <si>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</si>
  <si>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</si>
  <si>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</si>
  <si>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</si>
  <si>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</si>
  <si>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</si>
  <si>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</si>
  <si>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</si>
  <si>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</si>
  <si>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</si>
  <si>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</si>
  <si>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</si>
  <si>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</si>
  <si>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</si>
  <si>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</si>
  <si>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</si>
  <si>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</si>
  <si>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</si>
  <si>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</si>
  <si>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</si>
  <si>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</si>
  <si>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</si>
  <si>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</si>
  <si>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</si>
  <si>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</si>
  <si>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</si>
  <si>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</si>
  <si>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</si>
  <si>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</si>
  <si>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</si>
  <si>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</si>
  <si>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</si>
  <si>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</si>
  <si>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</si>
  <si>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</si>
  <si>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</si>
  <si>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</si>
  <si>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</si>
  <si>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</si>
  <si>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</si>
  <si>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</si>
  <si>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</si>
  <si>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</si>
  <si>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</si>
  <si>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</si>
  <si>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</si>
  <si>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</si>
  <si>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</si>
  <si>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</si>
  <si>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</si>
  <si>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</si>
  <si>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</si>
  <si>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</si>
  <si>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</si>
  <si>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</si>
  <si>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</si>
  <si>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</si>
  <si>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</si>
  <si>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</si>
  <si>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</si>
  <si>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</si>
  <si>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</si>
  <si>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</si>
  <si>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</si>
  <si>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</si>
  <si>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</si>
  <si>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</si>
  <si>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</si>
  <si>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</si>
  <si>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</si>
  <si>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</si>
  <si>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</si>
  <si>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</si>
  <si>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</si>
  <si>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</si>
  <si>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</si>
  <si>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</si>
  <si>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</si>
  <si>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</si>
  <si>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</si>
  <si>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</si>
  <si>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</si>
  <si>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</si>
  <si>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</si>
  <si>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</si>
  <si>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</si>
  <si>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</si>
  <si>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</si>
  <si>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</si>
  <si>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</si>
  <si>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</si>
  <si>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</si>
  <si>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</si>
  <si>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</si>
  <si>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</si>
  <si>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</si>
  <si>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</si>
  <si>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</si>
  <si>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</si>
  <si>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</si>
  <si>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</si>
  <si>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</si>
  <si>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</si>
  <si>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</si>
  <si>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</si>
  <si>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</si>
  <si>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</si>
  <si>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</si>
  <si>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</si>
  <si>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</si>
  <si>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</si>
  <si>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</si>
  <si>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</si>
  <si>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</si>
  <si>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</si>
  <si>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</si>
  <si>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</si>
  <si>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</si>
  <si>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</si>
  <si>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</si>
  <si>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</si>
  <si>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</si>
  <si>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</si>
  <si>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</si>
  <si>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</si>
  <si>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</si>
  <si>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</si>
  <si>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</si>
  <si>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</si>
  <si>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</si>
  <si>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</si>
  <si>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</si>
  <si>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</si>
  <si>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</si>
  <si>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</si>
  <si>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</si>
  <si>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</si>
  <si>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</si>
  <si>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</si>
  <si>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</si>
  <si>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</si>
  <si>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</si>
  <si>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</si>
  <si>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</si>
  <si>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</si>
  <si>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</si>
  <si>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</si>
  <si>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</si>
  <si>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</si>
  <si>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</si>
  <si>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</si>
  <si>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</si>
  <si>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</si>
  <si>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</si>
  <si>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</si>
  <si>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</si>
  <si>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</si>
  <si>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</si>
  <si>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</si>
  <si>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</si>
  <si>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</si>
  <si>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</si>
  <si>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</si>
  <si>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</si>
  <si>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</si>
  <si>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</si>
  <si>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</si>
  <si>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</si>
  <si>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</si>
  <si>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</si>
  <si>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</si>
  <si>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</si>
  <si>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</si>
  <si>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</si>
  <si>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</si>
  <si>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</si>
  <si>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</si>
  <si>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</si>
  <si>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</si>
  <si>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</si>
  <si>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</si>
  <si>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</si>
  <si>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</si>
  <si>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</si>
  <si>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</si>
  <si>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</si>
  <si>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</si>
  <si>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</si>
  <si>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</si>
  <si>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</si>
  <si>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</si>
  <si>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</si>
  <si>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</si>
  <si>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</si>
  <si>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</si>
  <si>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</si>
  <si>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</si>
  <si>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</si>
  <si>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</si>
  <si>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</si>
  <si>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</si>
  <si>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</si>
  <si>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</si>
  <si>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</si>
  <si>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</si>
  <si>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</si>
  <si>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</si>
  <si>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</si>
  <si>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</si>
  <si>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</si>
  <si>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</si>
  <si>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</si>
  <si>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</si>
  <si>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</si>
  <si>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</si>
  <si>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</si>
  <si>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</si>
  <si>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</si>
  <si>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</si>
  <si>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</si>
  <si>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</si>
  <si>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</si>
  <si>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</si>
  <si>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</si>
  <si>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</si>
  <si>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</si>
  <si>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</si>
  <si>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</si>
  <si>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</si>
  <si>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</si>
  <si>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</si>
  <si>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</si>
  <si>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</si>
  <si>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</si>
  <si>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</si>
  <si>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</si>
  <si>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</si>
  <si>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</si>
  <si>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</si>
  <si>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</si>
  <si>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</si>
  <si>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</si>
  <si>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</si>
  <si>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</si>
  <si>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</si>
  <si>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</si>
  <si>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</si>
  <si>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</si>
  <si>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</si>
  <si>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</si>
  <si>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</si>
  <si>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</si>
  <si>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</si>
  <si>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</si>
  <si>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</si>
  <si>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</si>
  <si>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</si>
  <si>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</si>
  <si>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</si>
  <si>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</si>
  <si>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</si>
  <si>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</si>
  <si>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</si>
  <si>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</si>
  <si>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</si>
  <si>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</si>
  <si>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</si>
  <si>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</si>
  <si>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</si>
  <si>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</si>
  <si>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</si>
  <si>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</si>
  <si>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</si>
  <si>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</si>
  <si>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</si>
  <si>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</si>
  <si>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</si>
  <si>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</si>
  <si>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</si>
  <si>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</si>
  <si>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</si>
  <si>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</si>
  <si>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</si>
  <si>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</si>
  <si>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</si>
  <si>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</si>
  <si>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</si>
  <si>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</si>
  <si>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</si>
  <si>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</si>
  <si>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</si>
  <si>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</si>
  <si>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</si>
  <si>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</si>
  <si>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</si>
  <si>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</si>
  <si>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</si>
  <si>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</si>
  <si>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</si>
  <si>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</si>
  <si>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</si>
  <si>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</si>
  <si>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</si>
  <si>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</si>
  <si>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</si>
  <si>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</si>
  <si>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</si>
  <si>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</si>
  <si>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</si>
  <si>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</si>
  <si>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</si>
  <si>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</si>
  <si>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</si>
  <si>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</si>
  <si>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</si>
  <si>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</si>
  <si>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</si>
  <si>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</si>
  <si>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</si>
  <si>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</si>
  <si>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</si>
  <si>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</si>
  <si>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</si>
  <si>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</si>
  <si>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</si>
  <si>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</si>
  <si>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</si>
  <si>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</si>
  <si>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</si>
  <si>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</si>
  <si>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</si>
  <si>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</si>
  <si>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</si>
  <si>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</si>
  <si>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</si>
  <si>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</si>
  <si>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</si>
  <si>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</si>
  <si>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</si>
  <si>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</si>
  <si>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</si>
  <si>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</si>
  <si>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</si>
  <si>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</si>
  <si>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</si>
  <si>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</si>
  <si>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</si>
  <si>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</si>
  <si>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</si>
  <si>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</si>
  <si>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</si>
  <si>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</si>
  <si>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</si>
  <si>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</si>
  <si>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</si>
  <si>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</si>
  <si>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</si>
  <si>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</si>
  <si>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</si>
  <si>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</si>
  <si>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</si>
  <si>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</si>
  <si>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</si>
  <si>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</si>
  <si>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</si>
  <si>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</si>
  <si>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</si>
  <si>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</si>
  <si>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</si>
  <si>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</si>
  <si>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</si>
  <si>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</si>
  <si>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</si>
  <si>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</si>
  <si>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</si>
  <si>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</si>
  <si>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</si>
  <si>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</si>
  <si>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</si>
  <si>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</si>
  <si>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</si>
  <si>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</si>
  <si>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</si>
  <si>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</si>
  <si>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</si>
  <si>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</si>
  <si>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</si>
  <si>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</si>
  <si>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</si>
  <si>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</si>
  <si>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</si>
  <si>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</si>
  <si>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</si>
  <si>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</si>
  <si>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</si>
  <si>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</si>
  <si>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</si>
  <si>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</si>
  <si>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</si>
  <si>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</si>
  <si>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</si>
  <si>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</si>
  <si>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</si>
  <si>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</si>
  <si>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</si>
  <si>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</si>
  <si>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</si>
  <si>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</si>
  <si>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</si>
  <si>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</si>
  <si>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</si>
  <si>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</si>
  <si>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</si>
  <si>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</si>
  <si>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</si>
  <si>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</si>
  <si>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</si>
  <si>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</si>
  <si>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</si>
  <si>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</si>
  <si>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</si>
  <si>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</si>
  <si>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</si>
  <si>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</si>
  <si>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</si>
  <si>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</si>
  <si>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</si>
  <si>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</si>
  <si>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</si>
  <si>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</si>
  <si>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</si>
  <si>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</si>
  <si>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</si>
  <si>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</si>
  <si>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</si>
  <si>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</si>
  <si>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</si>
  <si>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</si>
  <si>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</si>
  <si>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</si>
  <si>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</si>
  <si>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</si>
  <si>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</si>
  <si>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</si>
  <si>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</si>
  <si>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</si>
  <si>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</si>
  <si>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</si>
  <si>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</si>
  <si>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</si>
  <si>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</si>
  <si>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</si>
  <si>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</si>
  <si>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</si>
  <si>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</si>
  <si>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</si>
  <si>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</si>
  <si>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</si>
  <si>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</si>
  <si>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</si>
  <si>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</si>
  <si>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</si>
  <si>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</si>
  <si>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</si>
  <si>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</si>
  <si>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</si>
  <si>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</si>
  <si>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</si>
  <si>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</si>
  <si>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</si>
  <si>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</si>
  <si>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</si>
  <si>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</si>
  <si>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</si>
  <si>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</si>
  <si>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</si>
  <si>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</si>
  <si>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</si>
  <si>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</si>
  <si>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</si>
  <si>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</si>
  <si>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</si>
  <si>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</si>
  <si>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</si>
  <si>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</si>
  <si>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</si>
  <si>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</si>
  <si>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</si>
  <si>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</si>
  <si>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</si>
  <si>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</si>
  <si>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</si>
  <si>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</si>
  <si>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</si>
  <si>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</si>
  <si>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</si>
  <si>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</si>
  <si>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</si>
  <si>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</si>
  <si>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</si>
  <si>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</si>
  <si>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</si>
  <si>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</si>
  <si>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</si>
  <si>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</si>
  <si>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</si>
  <si>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</si>
  <si>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</si>
  <si>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</si>
  <si>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</si>
  <si>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</si>
  <si>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</si>
  <si>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</si>
  <si>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</si>
  <si>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</si>
  <si>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</si>
  <si>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</si>
  <si>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</si>
  <si>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</si>
  <si>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</si>
  <si>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</si>
  <si>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</si>
  <si>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</si>
  <si>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</si>
  <si>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</si>
  <si>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</si>
  <si>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</si>
  <si>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</si>
  <si>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</si>
  <si>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</si>
  <si>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</si>
  <si>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</si>
  <si>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</si>
  <si>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</si>
  <si>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</si>
  <si>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</si>
  <si>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</si>
  <si>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</si>
  <si>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</si>
  <si>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</si>
  <si>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</si>
  <si>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</si>
  <si>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</si>
  <si>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</si>
  <si>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</si>
  <si>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</si>
  <si>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</si>
  <si>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</si>
  <si>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</si>
  <si>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</si>
  <si>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</si>
  <si>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</si>
  <si>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</si>
  <si>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</si>
  <si>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</si>
  <si>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</si>
  <si>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</si>
  <si>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</si>
  <si>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</si>
  <si>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</si>
  <si>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</si>
  <si>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</si>
  <si>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</si>
  <si>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</si>
  <si>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</si>
  <si>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</si>
  <si>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</si>
  <si>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</si>
  <si>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</si>
  <si>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</si>
  <si>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</si>
  <si>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</si>
  <si>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</si>
  <si>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</si>
  <si>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</si>
  <si>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</si>
  <si>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</si>
  <si>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</si>
  <si>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</si>
  <si>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</si>
  <si>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</si>
  <si>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</si>
  <si>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</si>
  <si>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</si>
  <si>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</si>
  <si>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</si>
  <si>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</si>
  <si>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</si>
  <si>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</si>
  <si>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</si>
  <si>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</si>
  <si>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</si>
  <si>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</si>
  <si>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</si>
  <si>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</si>
  <si>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</si>
  <si>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</si>
  <si>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</si>
  <si>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</si>
  <si>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</si>
  <si>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</si>
  <si>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</si>
  <si>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</si>
  <si>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</si>
  <si>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</si>
  <si>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</si>
  <si>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</si>
  <si>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</si>
  <si>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</si>
  <si>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</si>
  <si>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</si>
  <si>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</si>
  <si>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</si>
  <si>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</si>
  <si>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</si>
  <si>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</si>
  <si>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</si>
  <si>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</si>
  <si>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</si>
  <si>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</si>
  <si>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</si>
  <si>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</si>
  <si>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</si>
  <si>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</si>
  <si>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</si>
  <si>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</si>
  <si>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</si>
  <si>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</si>
  <si>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</si>
  <si>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</si>
  <si>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</si>
  <si>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</si>
  <si>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</si>
  <si>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</si>
  <si>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</si>
  <si>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</si>
  <si>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</si>
  <si>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</si>
  <si>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</si>
  <si>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</si>
  <si>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</si>
  <si>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</si>
  <si>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</si>
  <si>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</si>
  <si>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</si>
  <si>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</si>
  <si>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</si>
  <si>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</si>
  <si>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</si>
  <si>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</si>
  <si>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</si>
  <si>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</si>
  <si>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</si>
  <si>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</si>
  <si>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</si>
  <si>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</si>
  <si>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</si>
  <si>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</si>
  <si>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</si>
  <si>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</si>
  <si>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</si>
  <si>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</si>
  <si>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</si>
  <si>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</si>
  <si>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</si>
  <si>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</si>
  <si>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</si>
  <si>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</si>
  <si>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</si>
  <si>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</si>
  <si>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</si>
  <si>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</si>
  <si>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</si>
  <si>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</si>
  <si>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</si>
  <si>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</si>
  <si>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</si>
  <si>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</si>
  <si>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</si>
  <si>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</si>
  <si>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</si>
  <si>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</si>
  <si>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</si>
  <si>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</si>
  <si>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</si>
  <si>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</si>
  <si>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</si>
  <si>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</si>
  <si>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</si>
  <si>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</si>
  <si>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</si>
  <si>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</si>
  <si>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</si>
  <si>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</si>
  <si>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</si>
  <si>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</si>
  <si>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</si>
  <si>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</si>
  <si>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</si>
  <si>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</si>
  <si>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</si>
  <si>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</si>
  <si>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</si>
  <si>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</si>
  <si>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</si>
  <si>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</si>
  <si>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</si>
  <si>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</si>
  <si>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</si>
  <si>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</si>
  <si>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</si>
  <si>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</si>
  <si>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</si>
  <si>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</si>
  <si>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</si>
  <si>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</si>
  <si>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</si>
  <si>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</si>
  <si>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</si>
  <si>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</si>
  <si>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</si>
  <si>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</si>
  <si>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</si>
  <si>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</si>
  <si>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</si>
  <si>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</si>
  <si>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</si>
  <si>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</si>
  <si>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</si>
  <si>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</si>
  <si>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</si>
  <si>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</si>
  <si>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</si>
  <si>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</si>
  <si>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</si>
  <si>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</si>
  <si>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</si>
  <si>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</si>
  <si>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</si>
  <si>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</si>
  <si>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</si>
  <si>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</si>
  <si>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</si>
  <si>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</si>
  <si>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</si>
  <si>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</si>
  <si>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</si>
  <si>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</si>
  <si>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</si>
  <si>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</si>
  <si>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</si>
  <si>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</si>
  <si>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</si>
  <si>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</si>
  <si>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</si>
  <si>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</si>
  <si>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</si>
  <si>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</si>
  <si>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</si>
  <si>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</si>
  <si>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</si>
  <si>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</si>
  <si>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</si>
  <si>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</si>
  <si>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</si>
  <si>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</si>
  <si>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</si>
  <si>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</si>
  <si>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</si>
  <si>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</si>
  <si>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</si>
  <si>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</si>
  <si>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</si>
  <si>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</si>
  <si>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</si>
  <si>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</si>
  <si>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</si>
  <si>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</si>
  <si>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</si>
  <si>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</si>
  <si>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</si>
  <si>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</si>
  <si>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</si>
  <si>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</si>
  <si>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</si>
  <si>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</si>
  <si>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</si>
  <si>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</si>
  <si>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</si>
  <si>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</si>
  <si>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</si>
  <si>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</si>
  <si>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</si>
  <si>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</si>
  <si>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</si>
  <si>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</si>
  <si>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</si>
  <si>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</si>
  <si>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</si>
  <si>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</si>
  <si>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</si>
  <si>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</si>
  <si>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</si>
  <si>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</si>
  <si>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</si>
  <si>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</si>
  <si>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</si>
  <si>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</si>
  <si>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</si>
  <si>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</si>
  <si>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</si>
  <si>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</si>
  <si>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</si>
  <si>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</si>
  <si>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</si>
  <si>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</si>
  <si>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</si>
  <si>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</si>
  <si>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</si>
  <si>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</si>
  <si>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</si>
  <si>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</si>
  <si>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</si>
  <si>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</si>
  <si>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</si>
  <si>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</si>
  <si>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</si>
  <si>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</si>
  <si>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</si>
  <si>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</si>
  <si>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</si>
  <si>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</si>
  <si>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</si>
  <si>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</si>
  <si>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</si>
  <si>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</si>
  <si>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</si>
  <si>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</si>
  <si>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</si>
  <si>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</si>
  <si>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</si>
  <si>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</si>
  <si>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</si>
  <si>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</si>
  <si>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</si>
  <si>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</si>
  <si>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</si>
  <si>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</si>
  <si>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</si>
  <si>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</si>
  <si>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</si>
  <si>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</si>
  <si>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</si>
  <si>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</si>
  <si>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</si>
  <si>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</si>
  <si>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</si>
  <si>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</si>
  <si>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</si>
  <si>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</si>
  <si>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</si>
  <si>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</si>
  <si>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</si>
  <si>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</si>
  <si>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</si>
  <si>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</si>
  <si>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</si>
  <si>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</si>
  <si>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</si>
  <si>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</si>
  <si>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</si>
  <si>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</si>
  <si>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</si>
  <si>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</si>
  <si>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</si>
  <si>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</si>
  <si>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</si>
  <si>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</si>
  <si>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</si>
  <si>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</si>
  <si>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</si>
  <si>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</si>
  <si>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</si>
  <si>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</si>
  <si>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</si>
  <si>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</si>
  <si>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</si>
  <si>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</si>
  <si>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</si>
  <si>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</si>
  <si>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</si>
  <si>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</si>
  <si>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</si>
  <si>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</si>
  <si>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</si>
  <si>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</si>
  <si>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</si>
  <si>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</si>
  <si>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</si>
  <si>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</si>
  <si>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</si>
  <si>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</si>
  <si>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</si>
  <si>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</si>
  <si>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</si>
  <si>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</si>
  <si>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</si>
  <si>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</si>
  <si>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</si>
  <si>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</si>
  <si>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</si>
  <si>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</si>
  <si>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</si>
  <si>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</si>
  <si>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</si>
  <si>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</si>
  <si>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</si>
  <si>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</si>
  <si>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</si>
  <si>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</si>
  <si>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</si>
  <si>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</si>
  <si>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</si>
  <si>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</si>
  <si>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</si>
  <si>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</si>
  <si>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</si>
  <si>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</si>
  <si>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</si>
  <si>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</si>
  <si>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</si>
  <si>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</si>
  <si>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</si>
  <si>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</si>
  <si>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</si>
  <si>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</si>
  <si>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</si>
  <si>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</si>
  <si>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</si>
  <si>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</si>
  <si>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</si>
  <si>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</si>
  <si>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</si>
  <si>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</si>
  <si>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</si>
  <si>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</si>
  <si>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</si>
  <si>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</si>
  <si>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</si>
  <si>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</si>
  <si>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</si>
  <si>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</si>
  <si>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</si>
  <si>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</si>
  <si>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</si>
  <si>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</si>
  <si>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</si>
  <si>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</si>
  <si>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</si>
  <si>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</si>
  <si>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</si>
  <si>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</si>
  <si>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</si>
  <si>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</si>
  <si>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</si>
  <si>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</si>
  <si>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</si>
  <si>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</si>
  <si>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</si>
  <si>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</si>
  <si>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</si>
  <si>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</si>
  <si>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</si>
  <si>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</si>
  <si>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</si>
  <si>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</si>
  <si>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</si>
  <si>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</si>
  <si>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</si>
  <si>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</si>
  <si>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</si>
  <si>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</si>
  <si>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</si>
  <si>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</si>
  <si>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</si>
  <si>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</si>
  <si>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</si>
  <si>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</si>
  <si>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</si>
  <si>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</si>
  <si>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</si>
  <si>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</si>
  <si>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</si>
  <si>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</si>
  <si>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</si>
  <si>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</si>
  <si>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</si>
  <si>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</si>
  <si>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</si>
  <si>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</si>
  <si>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</si>
  <si>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</si>
  <si>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</si>
  <si>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</si>
  <si>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</si>
  <si>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</si>
  <si>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</si>
  <si>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</si>
  <si>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</si>
  <si>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</si>
  <si>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</si>
  <si>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</si>
  <si>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</si>
  <si>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</si>
  <si>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</si>
  <si>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</si>
  <si>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</si>
  <si>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</si>
  <si>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</si>
  <si>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</si>
  <si>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</si>
  <si>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</si>
  <si>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</si>
  <si>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</si>
  <si>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</si>
  <si>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</si>
  <si>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</si>
  <si>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</si>
  <si>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</si>
  <si>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</si>
  <si>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</si>
  <si>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</si>
  <si>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</si>
  <si>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</si>
  <si>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</si>
  <si>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</si>
  <si>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</si>
  <si>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</si>
  <si>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</si>
  <si>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</si>
  <si>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</si>
  <si>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</si>
  <si>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</si>
  <si>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</si>
  <si>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</si>
  <si>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</si>
  <si>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</si>
  <si>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</si>
  <si>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</si>
  <si>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</si>
  <si>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</si>
  <si>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</si>
  <si>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</si>
  <si>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</si>
  <si>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</si>
  <si>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</si>
  <si>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</si>
  <si>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</si>
  <si>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</si>
  <si>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</si>
  <si>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</si>
  <si>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</si>
  <si>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</si>
  <si>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</si>
  <si>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</si>
  <si>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</si>
  <si>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</si>
  <si>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</si>
  <si>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</si>
  <si>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</si>
  <si>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</si>
  <si>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</si>
  <si>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</si>
  <si>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</si>
  <si>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</si>
  <si>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</si>
  <si>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</si>
  <si>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</si>
  <si>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</si>
  <si>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</si>
  <si>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</si>
  <si>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</si>
  <si>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</si>
  <si>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</si>
  <si>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</si>
  <si>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</si>
  <si>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</si>
  <si>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</si>
  <si>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</si>
  <si>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</si>
  <si>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</si>
  <si>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</si>
  <si>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</si>
  <si>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</si>
  <si>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</si>
  <si>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</si>
  <si>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</si>
  <si>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</si>
  <si>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</si>
  <si>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</si>
  <si>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</si>
  <si>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</si>
  <si>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</si>
  <si>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</si>
  <si>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</si>
  <si>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</si>
  <si>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</si>
  <si>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</si>
  <si>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</si>
  <si>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</si>
  <si>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</si>
  <si>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</si>
  <si>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</si>
  <si>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</si>
  <si>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</si>
  <si>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</si>
  <si>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</si>
  <si>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</si>
  <si>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</si>
  <si>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</si>
  <si>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</si>
  <si>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</si>
  <si>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</si>
  <si>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</si>
  <si>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</si>
  <si>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</si>
  <si>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</si>
  <si>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</si>
  <si>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</si>
  <si>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</si>
  <si>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</si>
  <si>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</si>
  <si>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</si>
  <si>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</si>
  <si>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</si>
  <si>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</si>
  <si>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</si>
  <si>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</si>
  <si>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</si>
  <si>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</si>
  <si>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</si>
  <si>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</si>
  <si>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</si>
  <si>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</si>
  <si>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</si>
  <si>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</si>
  <si>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</si>
  <si>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</si>
  <si>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</si>
  <si>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</si>
  <si>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</si>
  <si>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</si>
  <si>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</si>
  <si>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</si>
  <si>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</si>
  <si>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</si>
  <si>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</si>
  <si>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</si>
  <si>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</si>
  <si>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</si>
  <si>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</si>
  <si>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</si>
  <si>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</si>
  <si>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</si>
  <si>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</si>
  <si>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</si>
  <si>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</si>
  <si>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</si>
  <si>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</si>
  <si>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</si>
  <si>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</si>
  <si>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</si>
  <si>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</si>
  <si>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</si>
  <si>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</si>
  <si>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</si>
  <si>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</si>
  <si>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</si>
  <si>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</si>
  <si>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</si>
  <si>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</si>
  <si>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</si>
  <si>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</si>
  <si>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</si>
  <si>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</si>
  <si>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</si>
  <si>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</si>
  <si>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</si>
  <si>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</si>
  <si>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</si>
  <si>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</si>
  <si>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</si>
  <si>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</si>
  <si>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</si>
  <si>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</si>
  <si>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</si>
  <si>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</si>
  <si>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</si>
  <si>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</si>
  <si>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</si>
  <si>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</si>
  <si>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</si>
  <si>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</si>
  <si>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</si>
  <si>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</si>
  <si>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</si>
  <si>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</si>
  <si>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</si>
  <si>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</si>
  <si>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</si>
  <si>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</si>
  <si>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</si>
  <si>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</si>
  <si>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</si>
  <si>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</si>
  <si>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</si>
  <si>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</si>
  <si>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</si>
  <si>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</si>
  <si>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</si>
  <si>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</si>
  <si>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</si>
  <si>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</si>
  <si>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</si>
  <si>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</si>
  <si>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</si>
  <si>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</si>
  <si>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</si>
  <si>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</si>
  <si>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</si>
  <si>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</si>
  <si>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</si>
  <si>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</si>
  <si>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</si>
  <si>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</si>
  <si>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</si>
  <si>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</si>
  <si>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</si>
  <si>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</si>
  <si>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</si>
  <si>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</si>
  <si>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</si>
  <si>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</si>
  <si>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</si>
  <si>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</si>
  <si>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</si>
  <si>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</si>
  <si>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</si>
  <si>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</si>
  <si>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</si>
  <si>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</si>
  <si>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</si>
  <si>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</si>
  <si>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</si>
  <si>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</si>
  <si>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</si>
  <si>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</si>
  <si>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</si>
  <si>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</si>
  <si>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</si>
  <si>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</si>
  <si>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</si>
  <si>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</si>
  <si>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</si>
  <si>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</si>
  <si>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</si>
  <si>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</si>
  <si>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</si>
  <si>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</si>
  <si>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</si>
  <si>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</si>
  <si>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</si>
  <si>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</si>
  <si>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</si>
  <si>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</si>
  <si>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</si>
  <si>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</si>
  <si>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</si>
  <si>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</si>
  <si>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</si>
  <si>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</si>
  <si>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</si>
  <si>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</si>
  <si>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</si>
  <si>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</si>
  <si>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</si>
  <si>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</si>
  <si>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</si>
  <si>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</si>
  <si>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</si>
  <si>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</si>
  <si>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</si>
  <si>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</si>
  <si>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</si>
  <si>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</si>
  <si>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</si>
  <si>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</si>
  <si>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</si>
  <si>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</si>
  <si>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</si>
  <si>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</si>
  <si>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</si>
  <si>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</si>
  <si>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</si>
  <si>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</si>
  <si>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</si>
  <si>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</si>
  <si>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</si>
  <si>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</si>
  <si>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</si>
  <si>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</si>
  <si>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</si>
  <si>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</si>
  <si>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</si>
  <si>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</si>
  <si>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</si>
  <si>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</si>
  <si>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</si>
  <si>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</si>
  <si>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</si>
  <si>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</si>
  <si>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</si>
  <si>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</si>
  <si>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</si>
  <si>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</si>
  <si>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</si>
  <si>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</si>
  <si>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</si>
  <si>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</si>
  <si>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</si>
  <si>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</si>
  <si>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</si>
  <si>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</si>
  <si>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</si>
  <si>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</si>
  <si>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</si>
  <si>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</si>
  <si>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</si>
  <si>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</si>
  <si>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</si>
  <si>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</si>
  <si>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</si>
  <si>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</si>
  <si>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</si>
  <si>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</si>
  <si>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</si>
  <si>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</si>
  <si>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</si>
  <si>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</si>
  <si>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</si>
  <si>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</si>
  <si>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</si>
  <si>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</si>
  <si>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</si>
  <si>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</si>
  <si>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</si>
  <si>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</si>
  <si>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</si>
  <si>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</si>
  <si>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</si>
  <si>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</si>
  <si>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</si>
  <si>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</si>
  <si>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</si>
  <si>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</si>
  <si>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</si>
  <si>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</si>
  <si>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</si>
  <si>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</si>
  <si>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</si>
  <si>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</si>
  <si>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</si>
  <si>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</si>
  <si>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</si>
  <si>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</si>
  <si>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</si>
  <si>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</si>
  <si>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</si>
  <si>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</si>
  <si>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</si>
  <si>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</si>
  <si>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</si>
  <si>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</si>
  <si>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</si>
  <si>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</si>
  <si>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</si>
  <si>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</si>
  <si>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</si>
  <si>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</si>
  <si>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</si>
  <si>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</si>
  <si>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</si>
  <si>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</si>
  <si>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</si>
  <si>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</si>
  <si>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</si>
  <si>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</si>
  <si>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</si>
  <si>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</si>
  <si>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</si>
  <si>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</si>
  <si>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</si>
  <si>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</si>
  <si>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</si>
  <si>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</si>
  <si>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</si>
  <si>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</si>
  <si>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</si>
  <si>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</si>
  <si>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</si>
  <si>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</si>
  <si>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</si>
  <si>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</si>
  <si>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</si>
  <si>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</si>
  <si>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</si>
  <si>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</si>
  <si>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</si>
  <si>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</si>
  <si>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</si>
  <si>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</si>
  <si>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</si>
  <si>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</si>
  <si>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</si>
  <si>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</si>
  <si>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</si>
  <si>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</si>
  <si>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</si>
  <si>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</si>
  <si>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</si>
  <si>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</si>
  <si>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</si>
  <si>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</si>
  <si>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</si>
  <si>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</si>
  <si>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</si>
  <si>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</si>
  <si>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</si>
  <si>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</si>
  <si>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</si>
  <si>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</si>
  <si>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</si>
  <si>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</si>
  <si>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</si>
  <si>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</si>
  <si>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</si>
  <si>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</si>
  <si>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</si>
  <si>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</si>
  <si>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</si>
  <si>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</si>
  <si>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</si>
  <si>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</si>
  <si>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</si>
  <si>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</si>
  <si>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</si>
  <si>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</si>
  <si>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</si>
  <si>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</si>
  <si>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</si>
  <si>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</si>
  <si>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</si>
  <si>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</si>
  <si>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</si>
  <si>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</si>
  <si>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</si>
  <si>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</si>
  <si>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</si>
  <si>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</si>
  <si>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</si>
  <si>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</si>
  <si>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</si>
  <si>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</si>
  <si>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</si>
  <si>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</si>
  <si>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</si>
  <si>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</si>
  <si>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</si>
  <si>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</si>
  <si>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</si>
  <si>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</si>
  <si>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</si>
  <si>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</si>
  <si>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</si>
  <si>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</si>
  <si>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</si>
  <si>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</si>
  <si>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</si>
  <si>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</si>
  <si>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</si>
  <si>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</si>
  <si>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</si>
  <si>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</si>
  <si>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</si>
  <si>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</si>
  <si>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</si>
  <si>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</si>
  <si>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</si>
  <si>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</si>
  <si>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</si>
  <si>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</si>
  <si>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</si>
  <si>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</si>
  <si>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</si>
  <si>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</si>
  <si>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</si>
  <si>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</si>
  <si>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</si>
  <si>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</si>
  <si>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</si>
  <si>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</si>
  <si>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</si>
  <si>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</si>
  <si>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</si>
  <si>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</si>
  <si>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</si>
  <si>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</si>
  <si>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</si>
  <si>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</si>
  <si>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</si>
  <si>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</si>
  <si>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</si>
  <si>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</si>
  <si>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</si>
  <si>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</si>
  <si>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</si>
  <si>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</si>
  <si>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</si>
  <si>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</si>
  <si>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</si>
  <si>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</si>
  <si>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</si>
  <si>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</si>
  <si>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</si>
  <si>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</si>
  <si>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</si>
  <si>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</si>
  <si>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</si>
  <si>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</si>
  <si>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</si>
  <si>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</si>
  <si>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</si>
  <si>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</si>
  <si>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</si>
  <si>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</si>
  <si>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</si>
  <si>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</si>
  <si>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</si>
  <si>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</si>
  <si>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</si>
  <si>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</si>
  <si>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</si>
  <si>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</si>
  <si>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</si>
  <si>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</si>
  <si>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</si>
  <si>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</si>
  <si>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</si>
  <si>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</si>
  <si>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</si>
  <si>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</si>
  <si>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</si>
  <si>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</si>
  <si>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</si>
  <si>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</si>
  <si>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</si>
  <si>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</si>
  <si>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</si>
  <si>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</si>
  <si>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</si>
  <si>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</si>
  <si>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</si>
  <si>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</si>
  <si>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</si>
  <si>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</si>
  <si>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</si>
  <si>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</si>
  <si>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</si>
  <si>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</si>
  <si>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</si>
  <si>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</si>
  <si>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</si>
  <si>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</si>
  <si>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</si>
  <si>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</si>
  <si>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</si>
  <si>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</si>
  <si>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</si>
  <si>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</si>
  <si>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</si>
  <si>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</si>
  <si>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</si>
  <si>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</si>
  <si>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</si>
  <si>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</si>
  <si>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</si>
  <si>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</si>
  <si>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</si>
  <si>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</si>
  <si>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</si>
  <si>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</si>
  <si>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</si>
  <si>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</si>
  <si>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</si>
  <si>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</si>
  <si>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</si>
  <si>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</si>
  <si>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</si>
  <si>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</si>
  <si>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</si>
  <si>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</si>
  <si>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</si>
  <si>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</si>
  <si>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</si>
  <si>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</si>
  <si>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</si>
  <si>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</si>
  <si>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</si>
  <si>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</si>
  <si>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</si>
  <si>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</si>
  <si>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</si>
  <si>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</si>
  <si>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</si>
  <si>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</si>
  <si>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</si>
  <si>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</si>
  <si>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</si>
  <si>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</si>
  <si>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</si>
  <si>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</si>
  <si>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</si>
  <si>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</si>
  <si>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</si>
  <si>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</si>
  <si>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</si>
  <si>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</si>
  <si>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</si>
  <si>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</si>
  <si>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</si>
  <si>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</si>
  <si>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</si>
  <si>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</si>
  <si>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</si>
  <si>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</si>
  <si>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</si>
  <si>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</si>
  <si>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</si>
  <si>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</si>
  <si>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</si>
  <si>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</si>
  <si>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</si>
  <si>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</si>
  <si>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</si>
  <si>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</si>
  <si>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</si>
  <si>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</si>
  <si>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</si>
  <si>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</si>
  <si>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</si>
  <si>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</si>
  <si>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</si>
  <si>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</si>
  <si>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</si>
  <si>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</si>
  <si>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</si>
  <si>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</si>
  <si>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</si>
  <si>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</si>
  <si>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</si>
  <si>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</si>
  <si>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</si>
  <si>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</si>
  <si>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</si>
  <si>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</si>
  <si>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</si>
  <si>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</si>
  <si>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</si>
  <si>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</si>
  <si>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</si>
  <si>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</si>
  <si>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</si>
  <si>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</si>
  <si>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</si>
  <si>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</si>
  <si>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</si>
  <si>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</si>
  <si>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</si>
  <si>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</si>
  <si>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</si>
  <si>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</si>
  <si>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</si>
  <si>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</si>
  <si>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</si>
  <si>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</si>
  <si>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</si>
  <si>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</si>
  <si>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</si>
  <si>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</si>
  <si>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</si>
  <si>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</si>
  <si>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</si>
  <si>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</si>
  <si>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</si>
  <si>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</si>
  <si>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</si>
  <si>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</si>
  <si>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</si>
  <si>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</si>
  <si>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</si>
  <si>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</si>
  <si>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</si>
  <si>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</si>
  <si>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</si>
  <si>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</si>
  <si>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</si>
  <si>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</si>
  <si>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</si>
  <si>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</si>
  <si>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</si>
  <si>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</si>
  <si>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</si>
  <si>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</si>
  <si>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</si>
  <si>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</si>
  <si>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</si>
  <si>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</si>
  <si>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</si>
  <si>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</si>
  <si>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</si>
  <si>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</si>
  <si>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</si>
  <si>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</si>
  <si>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</si>
  <si>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</si>
  <si>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</si>
  <si>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</si>
  <si>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</si>
  <si>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</si>
  <si>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</si>
  <si>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</si>
  <si>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</si>
  <si>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</si>
  <si>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</si>
  <si>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</si>
  <si>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</si>
  <si>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</si>
  <si>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</si>
  <si>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</si>
  <si>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</si>
  <si>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</si>
  <si>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</si>
  <si>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</si>
  <si>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</si>
  <si>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</si>
  <si>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</si>
  <si>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</si>
  <si>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</si>
  <si>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</si>
  <si>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</si>
  <si>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</si>
  <si>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</si>
  <si>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</si>
  <si>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</si>
  <si>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</si>
  <si>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</si>
  <si>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</si>
  <si>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</si>
  <si>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</si>
  <si>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</si>
  <si>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</si>
  <si>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</si>
  <si>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</si>
  <si>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</si>
  <si>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</si>
  <si>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</si>
  <si>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</si>
  <si>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</si>
  <si>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</si>
  <si>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</si>
  <si>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</si>
  <si>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</si>
  <si>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</si>
  <si>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</si>
  <si>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</si>
  <si>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</si>
  <si>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</si>
  <si>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</si>
  <si>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</si>
  <si>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</si>
  <si>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</si>
  <si>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</si>
  <si>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</si>
  <si>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</si>
  <si>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</si>
  <si>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</si>
  <si>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</si>
  <si>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</si>
  <si>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</si>
  <si>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</si>
  <si>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</si>
  <si>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</si>
  <si>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</si>
  <si>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</si>
  <si>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</si>
  <si>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</si>
  <si>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</si>
  <si>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</si>
  <si>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</si>
  <si>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</si>
  <si>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</si>
  <si>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</si>
  <si>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</si>
  <si>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</si>
  <si>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</si>
  <si>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</si>
  <si>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</si>
  <si>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</si>
  <si>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</si>
  <si>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</si>
  <si>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</si>
  <si>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</si>
  <si>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</si>
  <si>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</si>
  <si>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</si>
  <si>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</si>
  <si>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</si>
  <si>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</si>
  <si>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</si>
  <si>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</si>
  <si>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</si>
  <si>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</si>
  <si>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</si>
  <si>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</si>
  <si>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</si>
  <si>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</si>
  <si>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</si>
  <si>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</si>
  <si>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</si>
  <si>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</si>
  <si>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</si>
  <si>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</si>
  <si>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</si>
  <si>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</si>
  <si>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</si>
  <si>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</si>
  <si>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</si>
  <si>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</si>
  <si>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</si>
  <si>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</si>
  <si>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</si>
  <si>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</si>
  <si>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</si>
  <si>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</si>
  <si>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</si>
  <si>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</si>
  <si>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</si>
  <si>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</si>
  <si>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</si>
  <si>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</si>
  <si>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</si>
  <si>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</si>
  <si>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</si>
  <si>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</si>
  <si>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</si>
  <si>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</si>
  <si>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</si>
  <si>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</si>
  <si>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</si>
  <si>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</si>
  <si>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</si>
  <si>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</si>
  <si>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</si>
  <si>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</si>
  <si>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</si>
  <si>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</si>
  <si>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</si>
  <si>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</si>
  <si>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</si>
  <si>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</si>
  <si>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</si>
  <si>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</si>
  <si>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</si>
  <si>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</si>
  <si>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</si>
  <si>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</si>
  <si>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</si>
  <si>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</si>
  <si>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</si>
  <si>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</si>
  <si>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</si>
  <si>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</si>
  <si>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</si>
  <si>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</si>
  <si>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</si>
  <si>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</si>
  <si>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</si>
  <si>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</si>
  <si>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</si>
  <si>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</si>
  <si>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</si>
  <si>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</si>
  <si>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</si>
  <si>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</si>
  <si>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</si>
  <si>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</si>
  <si>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</si>
  <si>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</si>
  <si>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</si>
  <si>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</si>
  <si>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</si>
  <si>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</si>
  <si>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</si>
  <si>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</si>
  <si>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</si>
  <si>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</si>
  <si>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</si>
  <si>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</si>
  <si>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</si>
  <si>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</si>
  <si>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</si>
  <si>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</si>
  <si>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</si>
  <si>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</si>
  <si>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</si>
  <si>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</si>
  <si>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</si>
  <si>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</si>
  <si>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</si>
  <si>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</si>
  <si>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</si>
  <si>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</si>
  <si>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</si>
  <si>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</si>
  <si>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</si>
  <si>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</si>
  <si>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</si>
  <si>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</si>
  <si>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</si>
  <si>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</si>
  <si>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</si>
  <si>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</si>
  <si>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</si>
  <si>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</si>
  <si>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</si>
  <si>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</si>
  <si>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</si>
  <si>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</si>
  <si>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</si>
  <si>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</si>
  <si>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</si>
  <si>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</si>
  <si>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</si>
  <si>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</si>
  <si>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</si>
  <si>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</si>
  <si>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</si>
  <si>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</si>
  <si>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</si>
  <si>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</si>
  <si>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</si>
  <si>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</si>
  <si>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</si>
  <si>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</si>
  <si>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</si>
  <si>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</si>
  <si>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</si>
  <si>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</si>
  <si>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</si>
  <si>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</si>
  <si>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</si>
  <si>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</si>
  <si>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</si>
  <si>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</si>
  <si>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</si>
  <si>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</si>
  <si>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</si>
  <si>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</si>
  <si>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</si>
  <si>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</si>
  <si>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</si>
  <si>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</si>
  <si>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</si>
  <si>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</si>
  <si>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</si>
  <si>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</si>
  <si>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</si>
  <si>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</si>
  <si>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</si>
  <si>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</si>
  <si>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</si>
  <si>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</si>
  <si>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</si>
  <si>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</si>
  <si>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</si>
  <si>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</si>
  <si>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</si>
  <si>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</si>
  <si>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</si>
  <si>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</si>
  <si>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</si>
  <si>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</si>
  <si>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</si>
  <si>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</si>
  <si>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</si>
  <si>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</si>
  <si>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</si>
  <si>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</si>
  <si>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</si>
  <si>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</si>
  <si>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</si>
  <si>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</si>
  <si>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</si>
  <si>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</si>
  <si>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</si>
  <si>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</si>
  <si>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</si>
  <si>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</si>
  <si>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</si>
  <si>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</si>
  <si>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</si>
  <si>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</si>
  <si>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</si>
  <si>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</si>
  <si>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</si>
  <si>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</si>
  <si>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</si>
  <si>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</si>
  <si>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</si>
  <si>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</si>
  <si>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</si>
  <si>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</si>
  <si>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</si>
  <si>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</si>
  <si>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</si>
  <si>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</si>
  <si>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</si>
  <si>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</si>
  <si>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</si>
  <si>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</si>
  <si>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</si>
  <si>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</si>
  <si>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</si>
  <si>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</si>
  <si>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</si>
  <si>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</si>
  <si>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</si>
  <si>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</si>
  <si>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</si>
  <si>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</si>
  <si>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</si>
  <si>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</si>
  <si>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</si>
  <si>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</si>
  <si>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</si>
  <si>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</si>
  <si>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</si>
  <si>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</si>
  <si>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</si>
  <si>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</si>
  <si>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</si>
  <si>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</si>
  <si>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</si>
  <si>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</si>
  <si>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</si>
  <si>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</si>
  <si>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</si>
  <si>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</si>
  <si>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</si>
  <si>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</si>
  <si>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</si>
  <si>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</si>
  <si>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</si>
  <si>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</si>
  <si>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</si>
  <si>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</si>
  <si>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</si>
  <si>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</si>
  <si>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</si>
  <si>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</si>
  <si>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</si>
  <si>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</si>
  <si>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</si>
  <si>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</si>
  <si>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</si>
  <si>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</si>
  <si>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</si>
  <si>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</si>
  <si>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</si>
  <si>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</si>
  <si>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</si>
  <si>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</si>
  <si>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</si>
  <si>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</si>
  <si>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</si>
  <si>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</si>
  <si>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</si>
  <si>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</si>
  <si>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</si>
  <si>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</si>
  <si>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</si>
  <si>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</si>
  <si>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</si>
  <si>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</si>
  <si>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</si>
  <si>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</si>
  <si>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</si>
  <si>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</si>
  <si>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</si>
  <si>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</si>
  <si>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</si>
  <si>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</si>
  <si>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</si>
  <si>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</si>
  <si>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</si>
  <si>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</si>
  <si>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</si>
  <si>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</si>
  <si>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</si>
  <si>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</si>
  <si>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</si>
  <si>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</si>
  <si>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</si>
  <si>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</si>
  <si>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</si>
  <si>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</si>
  <si>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</si>
  <si>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</si>
  <si>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</si>
  <si>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</si>
  <si>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</si>
  <si>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</si>
  <si>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</si>
  <si>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</si>
  <si>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</si>
  <si>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</si>
  <si>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</si>
  <si>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</si>
  <si>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</si>
  <si>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</si>
  <si>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</si>
  <si>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</si>
  <si>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</si>
  <si>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</si>
  <si>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</si>
  <si>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</si>
  <si>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</si>
  <si>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</si>
  <si>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</si>
  <si>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</si>
  <si>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</si>
  <si>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</si>
  <si>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</si>
  <si>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</si>
  <si>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</si>
  <si>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</si>
  <si>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</si>
  <si>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</si>
  <si>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</si>
  <si>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</si>
  <si>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</si>
  <si>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</si>
  <si>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</si>
  <si>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</si>
  <si>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</si>
  <si>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</si>
  <si>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</si>
  <si>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</si>
  <si>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</si>
  <si>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</si>
  <si>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</si>
  <si>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</si>
  <si>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</si>
  <si>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</si>
  <si>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</si>
  <si>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</si>
  <si>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</si>
  <si>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</si>
  <si>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</si>
  <si>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</si>
  <si>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</si>
  <si>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</si>
  <si>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</si>
  <si>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</si>
  <si>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</si>
  <si>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</si>
  <si>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</si>
  <si>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</si>
  <si>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</si>
  <si>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</si>
  <si>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</si>
  <si>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</si>
  <si>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</si>
  <si>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</si>
  <si>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</si>
  <si>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</si>
  <si>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</si>
  <si>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</si>
  <si>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</si>
  <si>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</si>
  <si>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</si>
  <si>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</si>
  <si>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</si>
  <si>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</si>
  <si>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</si>
  <si>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</si>
  <si>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</si>
  <si>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</si>
  <si>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</si>
  <si>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</si>
  <si>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</si>
  <si>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</si>
  <si>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</si>
  <si>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</si>
  <si>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</si>
  <si>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</si>
  <si>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</si>
  <si>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</si>
  <si>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</si>
  <si>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</si>
  <si>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</si>
  <si>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</si>
  <si>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</si>
  <si>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</si>
  <si>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</si>
  <si>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</si>
  <si>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</si>
  <si>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</si>
  <si>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</si>
  <si>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</si>
  <si>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</si>
  <si>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</si>
  <si>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</si>
  <si>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</si>
  <si>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</si>
  <si>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</si>
  <si>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</si>
  <si>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</si>
  <si>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</si>
  <si>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</si>
  <si>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</si>
  <si>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</si>
  <si>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</si>
  <si>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</si>
  <si>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</si>
  <si>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</si>
  <si>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</si>
  <si>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</si>
  <si>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</si>
  <si>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</si>
  <si>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</si>
  <si>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</si>
  <si>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</si>
  <si>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</si>
  <si>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</si>
  <si>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</si>
  <si>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</si>
  <si>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</si>
  <si>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</si>
  <si>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</si>
  <si>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</si>
  <si>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</si>
  <si>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</si>
  <si>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</si>
  <si>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</si>
  <si>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</si>
  <si>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</si>
  <si>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</si>
  <si>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</si>
  <si>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</si>
  <si>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</si>
  <si>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</si>
  <si>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</si>
  <si>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</si>
  <si>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</si>
  <si>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</si>
  <si>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</si>
  <si>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</si>
  <si>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</si>
  <si>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</si>
  <si>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</si>
  <si>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</si>
  <si>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</si>
  <si>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</si>
  <si>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</si>
  <si>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</si>
  <si>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</si>
  <si>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</si>
  <si>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</si>
  <si>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</si>
  <si>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</si>
  <si>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</si>
  <si>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</si>
  <si>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</si>
  <si>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</si>
  <si>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</si>
  <si>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</si>
  <si>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</si>
  <si>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</si>
  <si>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</si>
  <si>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</si>
  <si>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</si>
  <si>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</si>
  <si>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</si>
  <si>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</si>
  <si>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</si>
  <si>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</si>
  <si>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</si>
  <si>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</si>
  <si>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</si>
  <si>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</si>
  <si>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</si>
  <si>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</si>
  <si>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</si>
  <si>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</si>
  <si>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</si>
  <si>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</si>
  <si>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</si>
  <si>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</si>
  <si>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</si>
  <si>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</si>
  <si>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</si>
  <si>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</si>
  <si>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</si>
  <si>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</si>
  <si>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</si>
  <si>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</si>
  <si>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</si>
  <si>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</si>
  <si>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</si>
  <si>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</si>
  <si>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</si>
  <si>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</si>
  <si>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</si>
  <si>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</si>
  <si>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</si>
  <si>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</si>
  <si>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</si>
  <si>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</si>
  <si>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</si>
  <si>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</si>
  <si>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</si>
  <si>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</si>
  <si>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</si>
  <si>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</si>
  <si>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</si>
  <si>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</si>
  <si>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</si>
  <si>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</si>
  <si>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</si>
  <si>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</si>
  <si>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</si>
  <si>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</si>
  <si>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</si>
  <si>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</si>
  <si>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</si>
  <si>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</si>
  <si>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</si>
  <si>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</si>
  <si>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</si>
  <si>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</si>
  <si>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</si>
  <si>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</si>
  <si>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</si>
  <si>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</si>
  <si>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</si>
  <si>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</si>
  <si>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</si>
  <si>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</si>
  <si>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</si>
  <si>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</si>
  <si>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</si>
  <si>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</si>
  <si>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</si>
  <si>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</si>
  <si>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</si>
  <si>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</si>
  <si>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</si>
  <si>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</si>
  <si>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</si>
  <si>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</si>
  <si>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</si>
  <si>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</si>
  <si>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</si>
  <si>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</si>
  <si>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</si>
  <si>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</si>
  <si>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</si>
  <si>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</si>
  <si>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</si>
  <si>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</si>
  <si>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</si>
  <si>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</si>
  <si>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</si>
  <si>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</si>
  <si>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</si>
  <si>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</si>
  <si>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</si>
  <si>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</si>
  <si>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</si>
  <si>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</si>
  <si>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</si>
  <si>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</si>
  <si>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</si>
  <si>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</si>
  <si>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</si>
  <si>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</si>
  <si>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</si>
  <si>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</si>
  <si>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</si>
  <si>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</si>
  <si>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</si>
  <si>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</si>
  <si>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</si>
  <si>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</si>
  <si>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</si>
  <si>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</si>
  <si>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</si>
  <si>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</si>
  <si>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</si>
  <si>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</si>
  <si>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</si>
  <si>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</si>
  <si>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</si>
  <si>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</si>
  <si>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</si>
  <si>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</si>
  <si>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</si>
  <si>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</si>
  <si>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</si>
  <si>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</si>
  <si>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</si>
  <si>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</si>
  <si>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</si>
  <si>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</si>
  <si>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</si>
  <si>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</si>
  <si>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</si>
  <si>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</si>
  <si>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</si>
  <si>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</si>
  <si>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</si>
  <si>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</si>
  <si>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</si>
  <si>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</si>
  <si>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</si>
  <si>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</si>
  <si>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</si>
  <si>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</si>
  <si>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</si>
  <si>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</si>
  <si>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</si>
  <si>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</si>
  <si>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</si>
  <si>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</si>
  <si>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</si>
  <si>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</si>
  <si>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</si>
  <si>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</si>
  <si>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</si>
  <si>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</si>
  <si>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</si>
  <si>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</si>
  <si>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</si>
  <si>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</si>
  <si>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</si>
  <si>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</si>
  <si>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</si>
  <si>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</si>
  <si>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</si>
  <si>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</si>
  <si>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</si>
  <si>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</si>
  <si>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</si>
  <si>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</si>
  <si>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</si>
  <si>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</si>
  <si>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</si>
  <si>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</si>
  <si>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</si>
  <si>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</si>
  <si>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</si>
  <si>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</si>
  <si>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</si>
  <si>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</si>
  <si>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</si>
  <si>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</si>
  <si>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</si>
  <si>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</si>
  <si>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</si>
  <si>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</si>
  <si>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</si>
  <si>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</si>
  <si>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</si>
  <si>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</si>
  <si>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</si>
  <si>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</si>
  <si>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</si>
  <si>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</si>
  <si>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</si>
  <si>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</si>
  <si>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</si>
  <si>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</si>
  <si>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</si>
  <si>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</si>
  <si>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</si>
  <si>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</si>
  <si>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</si>
  <si>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</si>
  <si>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</si>
  <si>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</si>
  <si>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</si>
  <si>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</si>
  <si>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</si>
  <si>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</si>
  <si>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</si>
  <si>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</si>
  <si>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</si>
  <si>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</si>
  <si>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</si>
  <si>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</si>
  <si>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</si>
  <si>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</si>
  <si>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</si>
  <si>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</si>
  <si>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</si>
  <si>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</si>
  <si>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</si>
  <si>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</si>
  <si>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</si>
  <si>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</si>
  <si>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</si>
  <si>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</si>
  <si>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</si>
  <si>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</si>
  <si>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</si>
  <si>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</si>
  <si>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</si>
  <si>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</si>
  <si>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</si>
  <si>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</si>
  <si>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</si>
  <si>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</si>
  <si>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</si>
  <si>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</si>
  <si>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</si>
  <si>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</si>
  <si>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</si>
  <si>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</si>
  <si>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</si>
  <si>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</si>
  <si>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</si>
  <si>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</si>
  <si>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</si>
  <si>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</si>
  <si>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</si>
  <si>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</si>
  <si>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</si>
  <si>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</si>
  <si>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</si>
  <si>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</si>
  <si>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</si>
  <si>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</si>
  <si>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</si>
  <si>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</si>
  <si>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</si>
  <si>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</si>
  <si>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</si>
  <si>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</si>
  <si>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</si>
  <si>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</si>
  <si>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</si>
  <si>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</si>
  <si>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</si>
  <si>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</si>
  <si>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</si>
  <si>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</si>
  <si>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</si>
  <si>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</si>
  <si>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</si>
  <si>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</si>
  <si>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</si>
  <si>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</si>
  <si>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</si>
  <si>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</si>
  <si>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</si>
  <si>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</si>
  <si>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</si>
  <si>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</si>
  <si>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</si>
  <si>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</si>
  <si>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</si>
  <si>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</si>
  <si>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</si>
  <si>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</si>
  <si>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</si>
  <si>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</si>
  <si>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</si>
  <si>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</si>
  <si>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</si>
  <si>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</si>
  <si>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</si>
  <si>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</si>
  <si>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</si>
  <si>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</si>
  <si>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</si>
  <si>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</si>
  <si>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</si>
  <si>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</si>
  <si>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</si>
  <si>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</si>
  <si>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</si>
  <si>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</si>
  <si>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</si>
  <si>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</si>
  <si>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</si>
  <si>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</si>
  <si>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</si>
  <si>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</si>
  <si>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</si>
  <si>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</si>
  <si>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</si>
  <si>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</si>
  <si>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</si>
  <si>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</si>
  <si>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</si>
  <si>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</si>
  <si>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</si>
  <si>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</si>
  <si>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</si>
  <si>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</si>
  <si>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</si>
  <si>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</si>
  <si>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</si>
  <si>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</si>
  <si>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</si>
  <si>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</si>
  <si>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</si>
  <si>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</si>
  <si>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</si>
  <si>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</si>
  <si>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</si>
  <si>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</si>
  <si>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</si>
  <si>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</si>
  <si>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</si>
  <si>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</si>
  <si>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</si>
  <si>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</si>
  <si>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</si>
  <si>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</si>
  <si>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</si>
  <si>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</si>
  <si>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</si>
  <si>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</si>
  <si>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</si>
  <si>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</si>
  <si>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</si>
  <si>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</si>
  <si>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</si>
  <si>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</si>
  <si>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</si>
  <si>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</si>
  <si>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</si>
  <si>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</si>
  <si>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</si>
  <si>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</si>
  <si>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</si>
  <si>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</si>
  <si>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</si>
  <si>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</si>
  <si>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</si>
  <si>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</si>
  <si>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</si>
  <si>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</si>
  <si>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</si>
  <si>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</si>
  <si>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</si>
  <si>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</si>
  <si>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</si>
  <si>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</si>
  <si>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</si>
  <si>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</si>
  <si>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</si>
  <si>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</si>
  <si>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</si>
  <si>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</si>
  <si>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</si>
  <si>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</si>
  <si>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</si>
  <si>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</si>
  <si>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</si>
  <si>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</si>
  <si>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</si>
  <si>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</si>
  <si>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</si>
  <si>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</si>
  <si>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</si>
  <si>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</si>
  <si>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</si>
  <si>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</si>
  <si>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</si>
  <si>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</si>
  <si>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</si>
  <si>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</si>
  <si>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</si>
  <si>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</si>
  <si>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</si>
  <si>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</si>
  <si>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</si>
  <si>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</si>
  <si>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</si>
  <si>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</si>
  <si>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</si>
  <si>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</si>
  <si>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</si>
  <si>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</si>
  <si>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</si>
  <si>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</si>
  <si>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</si>
  <si>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</si>
  <si>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</si>
  <si>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</si>
  <si>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</si>
  <si>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</si>
  <si>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</si>
  <si>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</si>
  <si>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</si>
  <si>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</si>
  <si>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</si>
  <si>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</si>
  <si>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</si>
  <si>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</si>
  <si>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</si>
  <si>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</si>
  <si>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</si>
  <si>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</si>
  <si>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</si>
  <si>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</si>
  <si>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</si>
  <si>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</si>
  <si>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</si>
  <si>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</si>
  <si>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</si>
  <si>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</si>
  <si>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</si>
  <si>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</si>
  <si>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</si>
  <si>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</si>
  <si>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</si>
  <si>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</si>
  <si>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</si>
  <si>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</si>
  <si>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</si>
  <si>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</si>
  <si>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</si>
  <si>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</si>
  <si>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</si>
  <si>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</si>
  <si>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</si>
  <si>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</si>
  <si>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</si>
  <si>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</si>
  <si>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</si>
  <si>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</si>
  <si>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</si>
  <si>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</si>
  <si>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</si>
  <si>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</si>
  <si>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</si>
  <si>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</si>
  <si>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</si>
  <si>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</si>
  <si>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</si>
  <si>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</si>
  <si>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</si>
  <si>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</si>
  <si>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</si>
  <si>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</si>
  <si>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</si>
  <si>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</si>
  <si>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</si>
  <si>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</si>
  <si>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</si>
  <si>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</si>
  <si>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</si>
  <si>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</si>
  <si>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</si>
  <si>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</si>
  <si>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</si>
  <si>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</si>
  <si>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</si>
  <si>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</si>
  <si>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</si>
  <si>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</si>
  <si>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</si>
  <si>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</si>
  <si>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</si>
  <si>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</si>
  <si>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</si>
  <si>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</si>
  <si>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</si>
  <si>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</si>
  <si>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</si>
  <si>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</si>
  <si>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</si>
  <si>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</si>
  <si>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</si>
  <si>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</si>
  <si>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</si>
  <si>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</si>
  <si>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</si>
  <si>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</si>
  <si>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</si>
  <si>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</si>
  <si>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</si>
  <si>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</si>
  <si>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</si>
  <si>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</si>
  <si>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</si>
  <si>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</si>
  <si>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</si>
  <si>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</si>
  <si>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</si>
  <si>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</si>
  <si>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</si>
  <si>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</si>
  <si>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</si>
  <si>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</si>
  <si>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</si>
  <si>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</si>
  <si>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</si>
  <si>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</si>
  <si>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</si>
  <si>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</si>
  <si>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</si>
  <si>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</si>
  <si>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</si>
  <si>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</si>
  <si>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</si>
  <si>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</si>
  <si>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</si>
  <si>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</si>
  <si>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</si>
  <si>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</si>
  <si>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</si>
  <si>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</si>
  <si>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</si>
  <si>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</si>
  <si>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</si>
  <si>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</si>
  <si>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</si>
  <si>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</si>
  <si>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</si>
  <si>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</si>
  <si>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</si>
  <si>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</si>
  <si>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</si>
  <si>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</si>
  <si>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</si>
  <si>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</si>
  <si>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</si>
  <si>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</si>
  <si>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</si>
  <si>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</si>
  <si>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</si>
  <si>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</si>
  <si>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</si>
  <si>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</si>
  <si>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</si>
  <si>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</si>
  <si>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</si>
  <si>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</si>
  <si>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</si>
  <si>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</si>
  <si>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</si>
  <si>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</si>
  <si>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</si>
  <si>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</si>
  <si>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</si>
  <si>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</si>
  <si>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</si>
  <si>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</si>
  <si>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</si>
  <si>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</si>
  <si>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</si>
  <si>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</si>
  <si>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</si>
  <si>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</si>
  <si>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</si>
  <si>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</si>
  <si>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</si>
  <si>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</si>
  <si>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</si>
  <si>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</si>
  <si>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</si>
  <si>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</si>
  <si>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</si>
  <si>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</si>
  <si>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</si>
  <si>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</si>
  <si>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</si>
  <si>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</si>
  <si>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</si>
  <si>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</si>
  <si>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</si>
  <si>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</si>
  <si>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</si>
  <si>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</si>
  <si>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</si>
  <si>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</si>
  <si>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</si>
  <si>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</si>
  <si>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</si>
  <si>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</si>
  <si>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</si>
  <si>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</si>
  <si>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</si>
  <si>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</si>
  <si>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</si>
  <si>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</si>
  <si>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</si>
  <si>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</si>
  <si>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</si>
  <si>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</si>
  <si>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</si>
  <si>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</si>
  <si>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</si>
  <si>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</si>
  <si>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</si>
  <si>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</si>
  <si>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</si>
  <si>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</si>
  <si>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</si>
  <si>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</si>
  <si>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</si>
  <si>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</si>
  <si>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</si>
  <si>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</si>
  <si>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</si>
  <si>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</si>
  <si>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</si>
  <si>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</si>
  <si>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</si>
  <si>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</si>
  <si>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</si>
  <si>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</si>
  <si>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</si>
  <si>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</si>
  <si>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</si>
  <si>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</si>
  <si>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</si>
  <si>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</si>
  <si>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</si>
  <si>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</si>
  <si>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</si>
  <si>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</si>
  <si>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</si>
  <si>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</si>
  <si>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</si>
  <si>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</si>
  <si>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</si>
  <si>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</si>
  <si>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</si>
  <si>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</si>
  <si>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</si>
  <si>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</si>
  <si>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</si>
  <si>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</si>
  <si>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</si>
  <si>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</si>
  <si>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</si>
  <si>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</si>
  <si>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</si>
  <si>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</si>
  <si>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</si>
  <si>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</si>
  <si>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</si>
  <si>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</si>
  <si>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</si>
  <si>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</si>
  <si>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</si>
  <si>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</si>
  <si>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</si>
  <si>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</si>
  <si>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</si>
  <si>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</si>
  <si>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</si>
  <si>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</si>
  <si>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</si>
  <si>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</si>
  <si>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</si>
  <si>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</si>
  <si>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</si>
  <si>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</si>
  <si>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</si>
  <si>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</si>
  <si>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</si>
  <si>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</si>
  <si>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</si>
  <si>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</si>
  <si>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</si>
  <si>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</si>
  <si>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</si>
  <si>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</si>
  <si>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</si>
  <si>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</si>
  <si>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</si>
  <si>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</si>
  <si>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</si>
  <si>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</si>
  <si>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</si>
  <si>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</si>
  <si>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</si>
  <si>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</si>
  <si>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</si>
  <si>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</si>
  <si>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</si>
  <si>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</si>
  <si>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</si>
  <si>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</si>
  <si>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</si>
  <si>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</si>
  <si>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</si>
  <si>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</si>
  <si>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</si>
  <si>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</si>
  <si>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</si>
  <si>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</si>
  <si>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</si>
  <si>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</si>
  <si>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</si>
  <si>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</si>
  <si>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</si>
  <si>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</si>
  <si>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</si>
  <si>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</si>
  <si>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</si>
  <si>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</si>
  <si>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</si>
  <si>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</si>
  <si>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</si>
  <si>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</si>
  <si>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</si>
  <si>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</si>
  <si>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</si>
  <si>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</si>
  <si>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</si>
  <si>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</si>
  <si>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</si>
  <si>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</si>
  <si>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</si>
  <si>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</si>
  <si>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</si>
  <si>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</si>
  <si>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</si>
  <si>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</si>
  <si>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</si>
  <si>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</si>
  <si>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</si>
  <si>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</si>
  <si>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</si>
  <si>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</si>
  <si>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</si>
  <si>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</si>
  <si>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</si>
  <si>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</si>
  <si>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</si>
  <si>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</si>
  <si>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</si>
  <si>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</si>
  <si>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</si>
  <si>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</si>
  <si>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</si>
  <si>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</si>
  <si>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</si>
  <si>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</si>
  <si>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</si>
  <si>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</si>
  <si>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</si>
  <si>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</si>
  <si>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</si>
  <si>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</si>
  <si>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</si>
  <si>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</si>
  <si>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</si>
  <si>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</si>
  <si>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</si>
  <si>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</si>
  <si>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</si>
  <si>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</si>
  <si>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</si>
  <si>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</si>
  <si>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</si>
  <si>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</si>
  <si>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</si>
  <si>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</si>
  <si>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</si>
  <si>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</si>
  <si>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</si>
  <si>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</si>
  <si>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</si>
  <si>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</si>
  <si>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</si>
  <si>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</si>
  <si>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</si>
  <si>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</si>
  <si>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</si>
  <si>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</si>
  <si>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</si>
  <si>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</si>
  <si>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</si>
  <si>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</si>
  <si>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</si>
  <si>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</si>
  <si>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</si>
  <si>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</si>
  <si>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</si>
  <si>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</si>
  <si>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</si>
  <si>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</si>
  <si>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</si>
  <si>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</si>
  <si>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</si>
  <si>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</si>
  <si>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</si>
  <si>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</si>
  <si>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</si>
  <si>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</si>
  <si>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</si>
  <si>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</si>
  <si>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</si>
  <si>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</si>
  <si>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</si>
  <si>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</si>
  <si>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</si>
  <si>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</si>
  <si>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</si>
  <si>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</si>
  <si>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</si>
  <si>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</si>
  <si>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</si>
  <si>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</si>
  <si>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</si>
  <si>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</si>
  <si>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</si>
  <si>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</si>
  <si>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</si>
  <si>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</si>
  <si>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</si>
  <si>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</si>
  <si>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</si>
  <si>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</si>
  <si>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</si>
  <si>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</si>
  <si>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</si>
  <si>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</si>
  <si>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</si>
  <si>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</si>
  <si>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</si>
  <si>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</si>
  <si>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</si>
  <si>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</si>
  <si>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</si>
  <si>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</si>
  <si>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</si>
  <si>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</si>
  <si>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</si>
  <si>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</si>
  <si>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</si>
  <si>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</si>
  <si>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</si>
  <si>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</si>
  <si>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</si>
  <si>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</si>
  <si>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</si>
  <si>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</si>
  <si>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</si>
  <si>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</si>
  <si>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</si>
  <si>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</si>
  <si>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</si>
  <si>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</si>
  <si>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</si>
  <si>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</si>
  <si>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</si>
  <si>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</si>
  <si>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</si>
  <si>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</si>
  <si>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</si>
  <si>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</si>
  <si>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</si>
  <si>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</si>
  <si>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</si>
  <si>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</si>
  <si>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</si>
  <si>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</si>
  <si>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</si>
  <si>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</si>
  <si>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</si>
  <si>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</si>
  <si>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</si>
  <si>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</si>
  <si>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</si>
  <si>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</si>
  <si>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</si>
  <si>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</si>
  <si>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</si>
  <si>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</si>
  <si>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</si>
  <si>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</si>
  <si>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</si>
  <si>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</si>
  <si>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</si>
  <si>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</si>
  <si>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</si>
  <si>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</si>
  <si>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</si>
  <si>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</si>
  <si>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</si>
  <si>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</si>
  <si>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</si>
  <si>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</si>
  <si>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</si>
  <si>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</si>
  <si>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</si>
  <si>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</si>
  <si>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</si>
  <si>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</si>
  <si>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</si>
  <si>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</si>
  <si>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</si>
  <si>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</si>
  <si>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</si>
  <si>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</si>
  <si>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</si>
  <si>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</si>
  <si>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</si>
  <si>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</si>
  <si>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</si>
  <si>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</si>
  <si>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</si>
  <si>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</si>
  <si>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</si>
  <si>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</si>
  <si>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</si>
  <si>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</si>
  <si>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</si>
  <si>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</si>
  <si>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</si>
  <si>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</si>
  <si>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</si>
  <si>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</si>
  <si>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</si>
  <si>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</si>
  <si>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</si>
  <si>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</si>
  <si>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</si>
  <si>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</si>
  <si>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</si>
  <si>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</si>
  <si>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</si>
  <si>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</si>
  <si>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</si>
  <si>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</si>
  <si>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</si>
  <si>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</si>
  <si>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</si>
  <si>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</si>
  <si>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</si>
  <si>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</si>
  <si>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</si>
  <si>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</si>
  <si>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</si>
  <si>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</si>
  <si>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</si>
  <si>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</si>
  <si>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</si>
  <si>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</si>
  <si>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</si>
  <si>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</si>
  <si>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</si>
  <si>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</si>
  <si>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</si>
  <si>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</si>
  <si>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</si>
  <si>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</si>
  <si>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</si>
  <si>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</si>
  <si>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</si>
  <si>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</si>
  <si>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</si>
  <si>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</si>
  <si>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</si>
  <si>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</si>
  <si>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</si>
  <si>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</si>
  <si>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</si>
  <si>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</si>
  <si>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</si>
  <si>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</si>
  <si>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</si>
  <si>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</si>
  <si>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</si>
  <si>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</si>
  <si>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</si>
  <si>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</si>
  <si>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</si>
  <si>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</si>
  <si>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</si>
  <si>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</si>
  <si>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</si>
  <si>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</si>
  <si>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</si>
  <si>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</si>
  <si>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</si>
  <si>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</si>
  <si>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</si>
  <si>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</si>
  <si>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</si>
  <si>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</si>
  <si>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</si>
  <si>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</si>
  <si>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</si>
  <si>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</si>
  <si>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</si>
  <si>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</si>
  <si>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</si>
  <si>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</si>
  <si>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</si>
  <si>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</si>
  <si>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</si>
  <si>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</si>
  <si>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</si>
  <si>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</si>
  <si>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</si>
  <si>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</si>
  <si>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</si>
  <si>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</si>
  <si>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</si>
  <si>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</si>
  <si>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</si>
  <si>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</si>
  <si>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</si>
  <si>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</si>
  <si>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</si>
  <si>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</si>
  <si>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</si>
  <si>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</si>
  <si>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</si>
  <si>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</si>
  <si>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</si>
  <si>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</si>
  <si>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</si>
  <si>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</si>
  <si>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</si>
  <si>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</si>
  <si>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</si>
  <si>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</si>
  <si>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</si>
  <si>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</si>
  <si>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</si>
  <si>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</si>
  <si>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</si>
  <si>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</si>
  <si>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</si>
  <si>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</si>
  <si>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</si>
  <si>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</si>
  <si>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</si>
  <si>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</si>
  <si>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</si>
  <si>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</si>
  <si>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</si>
  <si>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</si>
  <si>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</si>
  <si>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</si>
  <si>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</si>
  <si>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</si>
  <si>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</si>
  <si>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</si>
  <si>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</si>
  <si>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</si>
  <si>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</si>
  <si>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</si>
  <si>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</si>
  <si>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</si>
  <si>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</si>
  <si>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</si>
  <si>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</si>
  <si>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</si>
  <si>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</si>
  <si>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</si>
  <si>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</si>
  <si>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</si>
  <si>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</si>
  <si>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</si>
  <si>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</si>
  <si>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</si>
  <si>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</si>
  <si>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</si>
  <si>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</si>
  <si>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</si>
  <si>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</si>
  <si>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</si>
  <si>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</si>
  <si>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</si>
  <si>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</si>
  <si>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</si>
  <si>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</si>
  <si>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</si>
  <si>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</si>
  <si>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</si>
  <si>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</si>
  <si>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</si>
  <si>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</si>
  <si>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</si>
  <si>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</si>
  <si>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</si>
  <si>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</si>
  <si>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</si>
  <si>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</si>
  <si>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</si>
  <si>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</si>
  <si>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</si>
  <si>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</si>
  <si>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</si>
  <si>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</si>
  <si>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</si>
  <si>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</si>
  <si>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</si>
  <si>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</si>
  <si>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</si>
  <si>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</si>
  <si>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</si>
  <si>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</si>
  <si>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</si>
  <si>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</si>
  <si>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</si>
  <si>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</si>
  <si>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</si>
  <si>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</si>
  <si>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</si>
  <si>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</si>
  <si>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</si>
  <si>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</si>
  <si>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</si>
  <si>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</si>
  <si>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</si>
  <si>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</si>
  <si>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</si>
  <si>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</si>
  <si>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</si>
  <si>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</si>
  <si>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</si>
  <si>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</si>
  <si>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</si>
  <si>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</si>
  <si>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</si>
  <si>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</si>
  <si>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</si>
  <si>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</si>
  <si>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</si>
  <si>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</si>
  <si>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</si>
  <si>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</si>
  <si>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</si>
  <si>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</si>
  <si>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</si>
  <si>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</si>
  <si>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</si>
  <si>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</si>
  <si>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</si>
  <si>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</si>
  <si>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</si>
  <si>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</si>
  <si>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</si>
  <si>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</si>
  <si>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</si>
  <si>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</si>
  <si>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</si>
  <si>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</si>
  <si>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</si>
  <si>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</si>
  <si>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</si>
  <si>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</si>
  <si>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</si>
  <si>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</si>
  <si>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</si>
  <si>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</si>
  <si>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</si>
  <si>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</si>
  <si>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</si>
  <si>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</si>
  <si>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</si>
  <si>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</si>
  <si>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</si>
  <si>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</si>
  <si>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</si>
  <si>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</si>
  <si>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</si>
  <si>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</si>
  <si>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</si>
  <si>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</si>
  <si>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</si>
  <si>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</si>
  <si>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</si>
  <si>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</si>
  <si>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</si>
  <si>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</si>
  <si>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</si>
  <si>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</si>
  <si>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</si>
  <si>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</si>
  <si>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</si>
  <si>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</si>
  <si>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</si>
  <si>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</si>
  <si>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</si>
  <si>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</si>
  <si>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</si>
  <si>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</si>
  <si>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</si>
  <si>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</si>
  <si>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</si>
  <si>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</si>
  <si>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</si>
  <si>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</si>
  <si>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</si>
  <si>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</si>
  <si>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</si>
  <si>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</si>
  <si>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</si>
  <si>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</si>
  <si>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</si>
  <si>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</si>
  <si>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</si>
  <si>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</si>
  <si>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</si>
  <si>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</si>
  <si>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</si>
  <si>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</si>
  <si>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</si>
  <si>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</si>
  <si>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</si>
  <si>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</si>
  <si>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</si>
  <si>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</si>
  <si>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</si>
  <si>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</si>
  <si>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</si>
  <si>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</si>
  <si>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</si>
  <si>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</si>
  <si>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</si>
  <si>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</si>
  <si>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</si>
  <si>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</si>
  <si>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</si>
  <si>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</si>
  <si>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</si>
  <si>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</si>
  <si>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</si>
  <si>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</si>
  <si>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</si>
  <si>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</si>
  <si>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</si>
  <si>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</si>
  <si>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</si>
  <si>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</si>
  <si>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</si>
  <si>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</si>
  <si>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</si>
  <si>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</si>
  <si>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</si>
  <si>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</si>
  <si>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</si>
  <si>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</si>
  <si>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</si>
  <si>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</si>
  <si>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</si>
  <si>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</si>
  <si>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</si>
  <si>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</si>
  <si>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</si>
  <si>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</si>
  <si>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</si>
  <si>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</si>
  <si>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</si>
  <si>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</si>
  <si>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</si>
  <si>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</si>
  <si>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</si>
  <si>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</si>
  <si>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</si>
  <si>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</si>
  <si>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</si>
  <si>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</si>
  <si>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</si>
  <si>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</si>
  <si>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</si>
  <si>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</si>
  <si>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</si>
  <si>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</si>
  <si>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</si>
  <si>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</si>
  <si>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</si>
  <si>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</si>
  <si>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</si>
  <si>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</si>
  <si>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</si>
  <si>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</si>
  <si>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</si>
  <si>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</si>
  <si>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</si>
  <si>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</si>
  <si>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</si>
  <si>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</si>
  <si>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</si>
  <si>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</si>
  <si>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</si>
  <si>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</si>
  <si>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</si>
  <si>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</si>
  <si>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</si>
  <si>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</si>
  <si>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</si>
  <si>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</si>
  <si>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</si>
  <si>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</si>
  <si>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</si>
  <si>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</si>
  <si>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</si>
  <si>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</si>
  <si>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</si>
  <si>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</si>
  <si>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</si>
  <si>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</si>
  <si>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</si>
  <si>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</si>
  <si>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</si>
  <si>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</si>
  <si>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</si>
  <si>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</si>
  <si>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</si>
  <si>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</si>
  <si>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</si>
  <si>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</si>
  <si>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</si>
  <si>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</si>
  <si>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</si>
  <si>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</si>
  <si>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</si>
  <si>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</si>
  <si>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</si>
  <si>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</si>
  <si>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</si>
  <si>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</si>
  <si>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</si>
  <si>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</si>
  <si>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</si>
  <si>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</si>
  <si>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</si>
  <si>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</si>
  <si>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</si>
  <si>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</si>
  <si>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</si>
  <si>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</si>
  <si>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</si>
  <si>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</si>
  <si>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</si>
  <si>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</si>
  <si>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</si>
  <si>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</si>
  <si>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</si>
  <si>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</si>
  <si>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</si>
  <si>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</si>
  <si>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</si>
  <si>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</si>
  <si>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</si>
  <si>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</si>
  <si>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</si>
  <si>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</si>
  <si>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</si>
  <si>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</si>
  <si>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</si>
  <si>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</si>
  <si>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</si>
  <si>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</si>
  <si>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</si>
  <si>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</si>
  <si>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</si>
  <si>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</si>
  <si>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</si>
  <si>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</si>
  <si>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</si>
  <si>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</si>
  <si>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</si>
  <si>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</si>
  <si>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</si>
  <si>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</si>
  <si>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</si>
  <si>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</si>
  <si>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</si>
  <si>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</si>
  <si>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</si>
  <si>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</si>
  <si>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</si>
  <si>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</si>
  <si>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</si>
  <si>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</si>
  <si>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</si>
  <si>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</si>
  <si>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</si>
  <si>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</si>
  <si>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</si>
  <si>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</si>
  <si>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</si>
  <si>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</si>
  <si>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</si>
  <si>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</si>
  <si>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</si>
  <si>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</si>
  <si>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</si>
  <si>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</si>
  <si>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</si>
  <si>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</si>
  <si>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</si>
  <si>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</si>
  <si>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</si>
  <si>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</si>
  <si>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</si>
  <si>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</si>
  <si>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</si>
  <si>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</si>
  <si>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</si>
  <si>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</si>
  <si>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</si>
  <si>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</si>
  <si>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</si>
  <si>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</si>
  <si>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</si>
  <si>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</si>
  <si>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</si>
  <si>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</si>
  <si>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</si>
  <si>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</si>
  <si>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</si>
  <si>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</si>
  <si>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</si>
  <si>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</si>
  <si>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</si>
  <si>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</si>
  <si>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</si>
  <si>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</si>
  <si>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</si>
  <si>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</si>
  <si>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</si>
  <si>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</si>
  <si>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</si>
  <si>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</si>
  <si>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</si>
  <si>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</si>
  <si>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</si>
  <si>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</si>
  <si>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</si>
  <si>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</si>
  <si>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</si>
  <si>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</si>
  <si>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</si>
  <si>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</si>
  <si>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</si>
  <si>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</si>
  <si>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</si>
  <si>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</si>
  <si>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</si>
  <si>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</si>
  <si>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</si>
  <si>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</si>
  <si>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</si>
  <si>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</si>
  <si>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</si>
  <si>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</si>
  <si>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</si>
  <si>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</si>
  <si>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</si>
  <si>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</si>
  <si>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</si>
  <si>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</si>
  <si>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</si>
  <si>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</si>
  <si>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</si>
  <si>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</si>
  <si>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</si>
  <si>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</si>
  <si>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</si>
  <si>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</si>
  <si>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</si>
  <si>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</si>
  <si>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</si>
  <si>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</si>
  <si>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</si>
  <si>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</si>
  <si>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</si>
  <si>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</si>
  <si>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</si>
  <si>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</si>
  <si>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</si>
  <si>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</si>
  <si>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</si>
  <si>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</si>
  <si>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</si>
  <si>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</si>
  <si>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</si>
  <si>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</si>
  <si>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</si>
  <si>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</si>
  <si>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</si>
  <si>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</si>
  <si>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</si>
  <si>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</si>
  <si>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</si>
  <si>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</si>
  <si>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</si>
  <si>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</si>
  <si>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</si>
  <si>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</si>
  <si>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</si>
  <si>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</si>
  <si>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</si>
  <si>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</si>
  <si>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</si>
  <si>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</si>
  <si>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</si>
  <si>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</si>
  <si>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</si>
  <si>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</si>
  <si>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</si>
  <si>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</si>
  <si>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</si>
  <si>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</si>
  <si>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</si>
  <si>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</si>
  <si>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</si>
  <si>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</si>
  <si>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</si>
  <si>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</si>
  <si>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</si>
  <si>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</si>
  <si>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</si>
  <si>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</si>
  <si>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</si>
  <si>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</si>
  <si>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</si>
  <si>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</si>
  <si>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</si>
  <si>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</si>
  <si>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</si>
  <si>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</si>
  <si>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</si>
  <si>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</si>
  <si>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</si>
  <si>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</si>
  <si>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</si>
  <si>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</si>
  <si>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</si>
  <si>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</si>
  <si>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</si>
  <si>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</si>
  <si>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</si>
  <si>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</si>
  <si>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</si>
  <si>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</si>
  <si>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</si>
  <si>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</si>
  <si>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</si>
  <si>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</si>
  <si>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</si>
  <si>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</si>
  <si>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</si>
  <si>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</si>
  <si>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</si>
  <si>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</si>
  <si>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</si>
  <si>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</si>
  <si>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</si>
  <si>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</si>
  <si>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</si>
  <si>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</si>
  <si>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</si>
  <si>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</si>
  <si>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</si>
  <si>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</si>
  <si>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</si>
  <si>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</si>
  <si>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</si>
  <si>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</si>
  <si>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</si>
  <si>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</si>
  <si>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</si>
  <si>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</si>
  <si>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</si>
  <si>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</si>
  <si>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</si>
  <si>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</si>
  <si>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</si>
  <si>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</si>
  <si>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</si>
  <si>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</si>
  <si>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</si>
  <si>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</si>
  <si>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</si>
  <si>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</si>
  <si>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</si>
  <si>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</si>
  <si>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</si>
  <si>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</si>
  <si>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</si>
  <si>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</si>
  <si>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</si>
  <si>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</si>
  <si>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</si>
  <si>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</si>
  <si>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</si>
  <si>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</si>
  <si>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</si>
  <si>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</si>
  <si>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</si>
  <si>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</si>
  <si>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</si>
  <si>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</si>
  <si>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</si>
  <si>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</si>
  <si>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</si>
  <si>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</si>
  <si>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</si>
  <si>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</si>
  <si>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</si>
  <si>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</si>
  <si>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</si>
  <si>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</si>
  <si>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</si>
  <si>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</si>
  <si>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</si>
  <si>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</si>
  <si>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</si>
  <si>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</si>
  <si>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</si>
  <si>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</si>
  <si>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</si>
  <si>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</si>
  <si>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</si>
  <si>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</si>
  <si>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</si>
  <si>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</si>
  <si>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</si>
  <si>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</si>
  <si>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</si>
  <si>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</si>
  <si>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</si>
  <si>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</si>
  <si>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</si>
  <si>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</si>
  <si>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</si>
  <si>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</si>
  <si>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</si>
  <si>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</si>
  <si>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</si>
  <si>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</si>
  <si>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</si>
  <si>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</si>
  <si>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</si>
  <si>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</si>
  <si>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</si>
  <si>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</si>
  <si>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</si>
  <si>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</si>
  <si>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</si>
  <si>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</si>
  <si>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</si>
  <si>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</si>
  <si>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</si>
  <si>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</si>
  <si>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</si>
  <si>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</si>
  <si>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</si>
  <si>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</si>
  <si>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</si>
  <si>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</si>
  <si>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</si>
  <si>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</si>
  <si>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</si>
  <si>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</si>
  <si>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</si>
  <si>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</si>
  <si>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</si>
  <si>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</si>
  <si>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</si>
  <si>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</si>
  <si>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</si>
  <si>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</si>
  <si>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</si>
  <si>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</si>
  <si>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</si>
  <si>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</si>
  <si>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</si>
  <si>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</si>
  <si>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</si>
  <si>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</si>
  <si>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</si>
  <si>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</si>
  <si>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</si>
  <si>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</si>
  <si>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</si>
  <si>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</si>
  <si>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</si>
  <si>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</si>
  <si>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</si>
  <si>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</si>
  <si>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</si>
  <si>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</si>
  <si>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</si>
  <si>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</si>
  <si>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</si>
  <si>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</si>
  <si>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</si>
  <si>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</si>
  <si>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</si>
  <si>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</si>
  <si>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</si>
  <si>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</si>
  <si>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</si>
  <si>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</si>
  <si>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</si>
  <si>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</si>
  <si>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</si>
  <si>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</si>
  <si>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</si>
  <si>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</si>
  <si>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</si>
  <si>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</si>
  <si>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</si>
  <si>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</si>
  <si>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</si>
  <si>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</si>
  <si>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</si>
  <si>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</si>
  <si>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</si>
  <si>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</si>
  <si>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</si>
  <si>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</si>
  <si>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</si>
  <si>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</si>
  <si>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</si>
  <si>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</si>
  <si>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</si>
  <si>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</si>
  <si>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</si>
  <si>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</si>
  <si>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</si>
  <si>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</si>
  <si>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</si>
  <si>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</si>
  <si>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</si>
  <si>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</si>
  <si>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</si>
  <si>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</si>
  <si>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</si>
  <si>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</si>
  <si>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</si>
  <si>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</si>
  <si>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</si>
  <si>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</si>
  <si>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</si>
  <si>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</si>
  <si>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</si>
  <si>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</si>
  <si>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</si>
  <si>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</si>
  <si>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</si>
  <si>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</si>
  <si>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</si>
  <si>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</si>
  <si>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</si>
  <si>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</si>
  <si>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</si>
  <si>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</si>
  <si>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</si>
  <si>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</si>
  <si>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</si>
  <si>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</si>
  <si>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</si>
  <si>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</si>
  <si>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</si>
  <si>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</si>
  <si>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</si>
  <si>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</si>
  <si>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</si>
  <si>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</si>
  <si>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</si>
  <si>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</si>
  <si>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</si>
  <si>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</si>
  <si>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</si>
  <si>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</si>
  <si>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</si>
  <si>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</si>
  <si>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</si>
  <si>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</si>
  <si>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</si>
  <si>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</si>
  <si>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</si>
  <si>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</si>
  <si>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</si>
  <si>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</si>
  <si>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</si>
  <si>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</si>
  <si>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</si>
  <si>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</si>
  <si>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</si>
  <si>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</si>
  <si>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</si>
  <si>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</si>
  <si>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</si>
  <si>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</si>
  <si>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</si>
  <si>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</si>
  <si>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</si>
  <si>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</si>
  <si>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</si>
  <si>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</si>
  <si>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</si>
  <si>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</si>
  <si>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</si>
  <si>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</si>
  <si>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</si>
  <si>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</si>
  <si>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</si>
  <si>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</si>
  <si>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</si>
  <si>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</si>
  <si>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</si>
  <si>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</si>
  <si>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</si>
  <si>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</si>
  <si>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</si>
  <si>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</si>
  <si>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</si>
  <si>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</si>
  <si>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</si>
  <si>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</si>
  <si>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</si>
  <si>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</si>
  <si>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</si>
  <si>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</si>
  <si>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</si>
  <si>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</si>
  <si>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</si>
  <si>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</si>
  <si>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</si>
  <si>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</si>
  <si>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</si>
  <si>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</si>
  <si>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</si>
  <si>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</si>
  <si>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</si>
  <si>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</si>
  <si>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</si>
  <si>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</si>
  <si>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</si>
  <si>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</si>
  <si>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</si>
  <si>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</si>
  <si>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</si>
  <si>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</si>
  <si>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</si>
  <si>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</si>
  <si>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</si>
  <si>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</si>
  <si>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</si>
  <si>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</si>
  <si>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</si>
  <si>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</si>
  <si>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</si>
  <si>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</si>
  <si>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</si>
  <si>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</si>
  <si>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</si>
  <si>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</si>
  <si>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</si>
  <si>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</si>
  <si>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</si>
  <si>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</si>
  <si>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</si>
  <si>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</si>
  <si>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</si>
  <si>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</si>
  <si>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</si>
  <si>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</si>
  <si>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</si>
  <si>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</si>
  <si>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</si>
  <si>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</si>
  <si>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</si>
  <si>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</si>
  <si>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</si>
  <si>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</si>
  <si>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</si>
  <si>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</si>
  <si>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</si>
  <si>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</si>
  <si>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</si>
  <si>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</si>
  <si>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</si>
  <si>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</si>
  <si>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</si>
  <si>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</si>
  <si>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</si>
  <si>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</si>
  <si>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</si>
  <si>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</si>
  <si>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</si>
  <si>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</si>
  <si>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</si>
  <si>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</si>
  <si>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</si>
  <si>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</si>
  <si>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</si>
  <si>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</si>
  <si>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</si>
  <si>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</si>
  <si>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</si>
  <si>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</si>
  <si>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</si>
  <si>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</si>
  <si>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</si>
  <si>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</si>
  <si>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</si>
  <si>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</si>
  <si>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</si>
  <si>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</si>
  <si>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</si>
  <si>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</si>
  <si>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</si>
  <si>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</si>
  <si>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</si>
  <si>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</si>
  <si>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</si>
  <si>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</si>
  <si>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</si>
  <si>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</si>
  <si>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</si>
  <si>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</si>
  <si>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</si>
  <si>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</si>
  <si>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</si>
  <si>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</si>
  <si>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</si>
  <si>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</si>
  <si>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</si>
  <si>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</si>
  <si>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</si>
  <si>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</si>
  <si>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</si>
  <si>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</si>
  <si>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</si>
  <si>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</si>
  <si>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</si>
  <si>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</si>
  <si>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</si>
  <si>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</si>
  <si>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</si>
  <si>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</si>
  <si>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</si>
  <si>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</si>
  <si>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</si>
  <si>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</si>
  <si>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</si>
  <si>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</si>
  <si>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</si>
  <si>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</si>
  <si>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</si>
  <si>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</si>
  <si>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</si>
  <si>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</si>
  <si>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</si>
  <si>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</si>
  <si>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</si>
  <si>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</si>
  <si>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</si>
  <si>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</si>
  <si>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</si>
  <si>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</si>
  <si>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</si>
  <si>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</si>
  <si>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</si>
  <si>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</si>
  <si>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</si>
  <si>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</si>
  <si>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</si>
  <si>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</si>
  <si>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</si>
  <si>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</si>
  <si>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</si>
  <si>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</si>
  <si>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</si>
  <si>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</si>
  <si>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</si>
  <si>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</si>
  <si>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</si>
  <si>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</si>
  <si>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</si>
  <si>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</si>
  <si>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</si>
  <si>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</si>
  <si>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</si>
  <si>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</si>
  <si>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</si>
  <si>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</si>
  <si>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</si>
  <si>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</si>
  <si>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</si>
  <si>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</si>
  <si>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</si>
  <si>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</si>
  <si>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</si>
  <si>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</si>
  <si>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</si>
  <si>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</si>
  <si>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</si>
  <si>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</si>
  <si>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</si>
  <si>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</si>
  <si>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</si>
  <si>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</si>
  <si>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</si>
  <si>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</si>
  <si>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</si>
  <si>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</si>
  <si>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</si>
  <si>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</si>
  <si>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</si>
  <si>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</si>
  <si>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</si>
  <si>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</si>
  <si>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</si>
  <si>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</si>
  <si>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</si>
  <si>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</si>
  <si>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</si>
  <si>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</si>
  <si>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</si>
  <si>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</si>
  <si>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</si>
  <si>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</si>
  <si>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</si>
  <si>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</si>
  <si>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</si>
  <si>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</si>
  <si>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</si>
  <si>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</si>
  <si>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</si>
  <si>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</si>
  <si>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</si>
  <si>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</si>
  <si>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</si>
  <si>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</si>
  <si>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</si>
  <si>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</si>
  <si>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</si>
  <si>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</si>
  <si>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</si>
  <si>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</si>
  <si>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</si>
  <si>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</si>
  <si>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</si>
  <si>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</si>
  <si>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</si>
  <si>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</si>
  <si>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</si>
  <si>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</si>
  <si>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</si>
  <si>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</si>
  <si>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</si>
  <si>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</si>
  <si>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</si>
  <si>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</si>
  <si>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</si>
  <si>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</si>
  <si>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</si>
  <si>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</si>
  <si>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</si>
  <si>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</si>
  <si>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</si>
  <si>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</si>
  <si>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</si>
  <si>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</si>
  <si>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</si>
  <si>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</si>
  <si>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</si>
  <si>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</si>
  <si>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</si>
  <si>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</si>
  <si>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</si>
  <si>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</si>
  <si>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</si>
  <si>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</si>
  <si>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</si>
  <si>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</si>
  <si>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</si>
  <si>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</si>
  <si>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</si>
  <si>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</si>
  <si>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</si>
  <si>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</si>
  <si>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</si>
  <si>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</si>
  <si>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</si>
  <si>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</si>
  <si>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</si>
  <si>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</si>
  <si>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</si>
  <si>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</si>
  <si>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</si>
  <si>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</si>
  <si>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</si>
  <si>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</si>
  <si>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</si>
  <si>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</si>
  <si>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</si>
  <si>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</si>
  <si>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</si>
  <si>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</si>
  <si>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</si>
  <si>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</si>
  <si>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</si>
  <si>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</si>
  <si>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</si>
  <si>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</si>
  <si>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</si>
  <si>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</si>
  <si>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</si>
  <si>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</si>
  <si>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</si>
  <si>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</si>
  <si>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</si>
  <si>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</si>
  <si>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</si>
  <si>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</si>
  <si>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</si>
  <si>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</si>
  <si>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</si>
  <si>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</si>
  <si>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</si>
  <si>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</si>
  <si>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</si>
  <si>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</si>
  <si>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</si>
  <si>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</si>
  <si>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</si>
  <si>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</si>
  <si>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</si>
  <si>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</si>
  <si>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</si>
  <si>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</si>
  <si>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</si>
  <si>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</si>
  <si>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</si>
  <si>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</si>
  <si>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</si>
  <si>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</si>
  <si>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</si>
  <si>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</si>
  <si>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</si>
  <si>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</si>
  <si>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</si>
  <si>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</si>
  <si>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</si>
  <si>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</si>
  <si>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</si>
  <si>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</si>
  <si>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</si>
  <si>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</si>
  <si>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</si>
  <si>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</si>
  <si>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</si>
  <si>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</si>
  <si>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</si>
  <si>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</si>
  <si>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</si>
  <si>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</si>
  <si>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</si>
  <si>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</si>
  <si>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</si>
  <si>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</si>
  <si>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</si>
  <si>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</si>
  <si>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</si>
  <si>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</si>
  <si>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</si>
  <si>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</si>
  <si>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</si>
  <si>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</si>
  <si>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</si>
  <si>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</si>
  <si>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</si>
  <si>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</si>
  <si>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</si>
  <si>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</si>
  <si>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</si>
  <si>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</si>
  <si>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</si>
  <si>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</si>
  <si>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</si>
  <si>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</si>
  <si>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</si>
  <si>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</si>
  <si>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</si>
  <si>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</si>
  <si>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</si>
  <si>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</si>
  <si>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</si>
  <si>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</si>
  <si>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</si>
  <si>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</si>
  <si>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</si>
  <si>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</si>
  <si>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</si>
  <si>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</si>
  <si>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</si>
  <si>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</si>
  <si>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</si>
  <si>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</si>
  <si>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</si>
  <si>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</si>
  <si>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</si>
  <si>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</si>
  <si>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</si>
  <si>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</si>
  <si>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</si>
  <si>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</si>
  <si>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</si>
  <si>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</si>
  <si>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</si>
  <si>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</si>
  <si>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</si>
  <si>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</si>
  <si>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</si>
  <si>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</si>
  <si>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</si>
  <si>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</si>
  <si>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</si>
  <si>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</si>
  <si>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</si>
  <si>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</si>
  <si>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</si>
  <si>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</si>
  <si>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</si>
  <si>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</si>
  <si>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</si>
  <si>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</si>
  <si>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</si>
  <si>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</si>
  <si>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</si>
  <si>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</si>
  <si>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</si>
  <si>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</si>
  <si>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</si>
  <si>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</si>
  <si>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</si>
  <si>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</si>
  <si>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</si>
  <si>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</si>
  <si>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</si>
  <si>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</si>
  <si>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</si>
  <si>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</si>
  <si>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</si>
  <si>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</si>
  <si>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</si>
  <si>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</si>
  <si>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</si>
  <si>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</si>
  <si>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</si>
  <si>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</si>
  <si>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</si>
  <si>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</si>
  <si>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</si>
  <si>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</si>
  <si>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</si>
  <si>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</si>
  <si>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</si>
  <si>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</si>
  <si>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</si>
  <si>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</si>
  <si>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</si>
  <si>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</si>
  <si>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</si>
  <si>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</si>
  <si>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</si>
  <si>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</si>
  <si>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</si>
  <si>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</si>
  <si>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</si>
  <si>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</si>
  <si>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</si>
  <si>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</si>
  <si>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</si>
  <si>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</si>
  <si>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</si>
  <si>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</si>
  <si>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</si>
  <si>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</si>
  <si>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</si>
  <si>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</si>
  <si>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</si>
  <si>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</si>
  <si>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</si>
  <si>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</si>
  <si>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</si>
  <si>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</si>
  <si>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</si>
  <si>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</si>
  <si>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</si>
  <si>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</si>
  <si>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</si>
  <si>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</si>
  <si>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</si>
  <si>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</si>
  <si>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</si>
  <si>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</si>
  <si>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</si>
  <si>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</si>
  <si>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</si>
  <si>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</si>
  <si>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</si>
  <si>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</si>
  <si>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</si>
  <si>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</si>
  <si>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</si>
  <si>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</si>
  <si>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</si>
  <si>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</si>
  <si>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</si>
  <si>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</si>
  <si>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</si>
  <si>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</si>
  <si>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</si>
  <si>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</si>
  <si>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</si>
  <si>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</si>
  <si>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</si>
  <si>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</si>
  <si>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</si>
  <si>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</si>
  <si>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</si>
  <si>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</si>
  <si>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</si>
  <si>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</si>
  <si>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</si>
  <si>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</si>
  <si>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</si>
  <si>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</si>
  <si>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</si>
  <si>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</si>
  <si>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</si>
  <si>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</si>
  <si>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</si>
  <si>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</si>
  <si>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</si>
  <si>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</si>
  <si>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</si>
  <si>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</si>
  <si>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</si>
  <si>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</si>
  <si>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</si>
  <si>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</si>
  <si>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</si>
  <si>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</si>
  <si>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</si>
  <si>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</si>
  <si>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</si>
  <si>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</si>
  <si>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</si>
  <si>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</si>
  <si>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</si>
  <si>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</si>
  <si>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</si>
  <si>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</si>
  <si>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</si>
  <si>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</si>
  <si>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</si>
  <si>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</si>
  <si>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</si>
  <si>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</si>
  <si>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</si>
  <si>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</si>
  <si>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</si>
  <si>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</si>
  <si>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</si>
  <si>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</si>
  <si>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</si>
  <si>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</si>
  <si>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</si>
  <si>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</si>
  <si>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</si>
  <si>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</si>
  <si>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</si>
  <si>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</si>
  <si>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</si>
  <si>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</si>
  <si>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</si>
  <si>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</si>
  <si>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</si>
  <si>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</si>
  <si>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</si>
  <si>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</si>
  <si>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</si>
  <si>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</si>
  <si>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</si>
  <si>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</si>
  <si>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</si>
  <si>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</si>
  <si>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</si>
  <si>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</si>
  <si>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</si>
  <si>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</si>
  <si>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</si>
  <si>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</si>
  <si>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</si>
  <si>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</si>
  <si>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</si>
  <si>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</si>
  <si>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</si>
  <si>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</si>
  <si>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</si>
  <si>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</si>
  <si>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</si>
  <si>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</si>
  <si>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</si>
  <si>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</si>
  <si>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</si>
  <si>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</si>
  <si>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</si>
  <si>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</si>
  <si>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</si>
  <si>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</si>
  <si>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</si>
  <si>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</si>
  <si>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</si>
  <si>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</si>
  <si>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</si>
  <si>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</si>
  <si>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</si>
  <si>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</si>
  <si>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</si>
  <si>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</si>
  <si>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</si>
  <si>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</si>
  <si>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</si>
  <si>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</si>
  <si>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</si>
  <si>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</si>
  <si>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</si>
  <si>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</si>
  <si>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</si>
  <si>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</si>
  <si>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</si>
  <si>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</si>
  <si>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</si>
  <si>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</si>
  <si>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</si>
  <si>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</si>
  <si>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</si>
  <si>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</si>
  <si>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</si>
  <si>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</si>
  <si>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</si>
  <si>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</si>
  <si>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</si>
  <si>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</si>
  <si>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</si>
  <si>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</si>
  <si>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</si>
  <si>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</si>
  <si>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</si>
  <si>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</si>
  <si>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</si>
  <si>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</si>
  <si>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</si>
  <si>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</si>
  <si>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</si>
  <si>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</si>
  <si>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</si>
  <si>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</si>
  <si>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</si>
  <si>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</si>
  <si>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</si>
  <si>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</si>
  <si>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</si>
  <si>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</si>
  <si>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</si>
  <si>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</si>
  <si>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</si>
  <si>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</si>
  <si>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</si>
  <si>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</si>
  <si>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</si>
  <si>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</si>
  <si>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</si>
  <si>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</si>
  <si>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</si>
  <si>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</si>
  <si>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</si>
  <si>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</si>
  <si>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</si>
  <si>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</si>
  <si>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</si>
  <si>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</si>
  <si>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</si>
  <si>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</si>
  <si>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</si>
  <si>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</si>
  <si>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</si>
  <si>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</si>
  <si>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</si>
  <si>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</si>
  <si>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</si>
  <si>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</si>
  <si>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</si>
  <si>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</si>
  <si>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</si>
  <si>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</si>
  <si>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</si>
  <si>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</si>
  <si>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</si>
  <si>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</si>
  <si>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</si>
  <si>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</si>
  <si>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</si>
  <si>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</si>
  <si>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</si>
  <si>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</si>
  <si>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</si>
  <si>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</si>
  <si>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</si>
  <si>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</si>
  <si>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</si>
  <si>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</si>
  <si>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</si>
  <si>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</si>
  <si>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</si>
  <si>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</si>
  <si>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</si>
  <si>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</si>
  <si>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</si>
  <si>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</si>
  <si>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</si>
  <si>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</si>
  <si>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</si>
  <si>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</si>
  <si>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</si>
  <si>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</si>
  <si>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</si>
  <si>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</si>
  <si>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</si>
  <si>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</si>
  <si>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</si>
  <si>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</si>
  <si>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</si>
  <si>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</si>
  <si>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</si>
  <si>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</si>
  <si>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</si>
  <si>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</si>
  <si>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</si>
  <si>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</si>
  <si>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</si>
  <si>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</si>
  <si>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</si>
  <si>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</si>
  <si>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</si>
  <si>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</si>
  <si>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</si>
  <si>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</si>
  <si>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</si>
  <si>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</si>
  <si>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</si>
  <si>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</si>
  <si>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</si>
  <si>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</si>
  <si>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</si>
  <si>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</si>
  <si>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</si>
  <si>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</si>
  <si>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</si>
  <si>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</si>
  <si>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</si>
  <si>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</si>
  <si>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</si>
  <si>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</si>
  <si>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</si>
  <si>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</si>
  <si>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</si>
  <si>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</si>
  <si>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</si>
  <si>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</si>
  <si>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</si>
  <si>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</si>
  <si>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</si>
  <si>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</si>
  <si>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</si>
  <si>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</si>
  <si>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</si>
  <si>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</si>
  <si>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</si>
  <si>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</si>
  <si>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</si>
  <si>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</si>
  <si>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</si>
  <si>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</si>
  <si>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</si>
  <si>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</si>
  <si>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</si>
  <si>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</si>
  <si>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</si>
  <si>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</si>
  <si>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</si>
  <si>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</si>
  <si>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</si>
  <si>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</si>
  <si>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</si>
  <si>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</si>
  <si>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</si>
  <si>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</si>
  <si>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</si>
  <si>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</si>
  <si>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</si>
  <si>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</si>
  <si>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</si>
  <si>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</si>
  <si>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</si>
  <si>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</si>
  <si>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</si>
  <si>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</si>
  <si>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</si>
  <si>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</si>
  <si>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</si>
  <si>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</si>
  <si>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</si>
  <si>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</si>
  <si>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</si>
  <si>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</si>
  <si>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</si>
  <si>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</si>
  <si>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</si>
  <si>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</si>
  <si>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</si>
  <si>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</si>
  <si>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</si>
  <si>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</si>
  <si>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</si>
  <si>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</si>
  <si>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</si>
  <si>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</si>
  <si>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</si>
  <si>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</si>
  <si>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</si>
  <si>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</si>
  <si>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</si>
  <si>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</si>
  <si>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</si>
  <si>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</si>
  <si>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</si>
  <si>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</si>
  <si>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</si>
  <si>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</si>
  <si>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</si>
  <si>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</si>
  <si>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</si>
  <si>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</si>
  <si>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</si>
  <si>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</si>
  <si>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</si>
  <si>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</si>
  <si>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</si>
  <si>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</si>
  <si>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</si>
  <si>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</si>
  <si>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</si>
  <si>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</si>
  <si>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</si>
  <si>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</si>
  <si>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</si>
  <si>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</si>
  <si>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</si>
  <si>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</si>
  <si>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</si>
  <si>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</si>
  <si>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</si>
  <si>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</si>
  <si>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</si>
  <si>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</si>
  <si>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</si>
  <si>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</si>
  <si>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</si>
  <si>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</si>
  <si>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</si>
  <si>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</si>
  <si>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</si>
  <si>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</si>
  <si>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</si>
  <si>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</si>
  <si>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</si>
  <si>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</si>
  <si>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</si>
  <si>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</si>
  <si>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</si>
  <si>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</si>
  <si>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</si>
  <si>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</si>
  <si>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</si>
  <si>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</si>
  <si>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</si>
  <si>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</si>
  <si>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</si>
  <si>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</si>
  <si>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</si>
  <si>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</si>
  <si>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</si>
  <si>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</si>
  <si>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</si>
  <si>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</si>
  <si>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</si>
  <si>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</si>
  <si>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</si>
  <si>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</si>
  <si>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</si>
  <si>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</si>
  <si>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</si>
  <si>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</si>
  <si>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</si>
  <si>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</si>
  <si>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</si>
  <si>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</si>
  <si>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</si>
  <si>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</si>
  <si>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</si>
  <si>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</si>
  <si>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</si>
  <si>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</si>
  <si>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</si>
  <si>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</si>
  <si>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</si>
  <si>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</si>
  <si>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</si>
  <si>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</si>
  <si>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</si>
  <si>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</si>
  <si>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</si>
  <si>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</si>
  <si>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</si>
  <si>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</si>
  <si>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</si>
  <si>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</si>
  <si>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</si>
  <si>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</si>
  <si>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</si>
  <si>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</si>
  <si>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</si>
  <si>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</si>
  <si>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</si>
  <si>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</si>
  <si>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</si>
  <si>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</si>
  <si>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</si>
  <si>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</si>
  <si>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</si>
  <si>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</si>
  <si>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</si>
  <si>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</si>
  <si>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</si>
  <si>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</si>
  <si>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</si>
  <si>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</si>
  <si>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</si>
  <si>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</si>
  <si>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</si>
  <si>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</si>
  <si>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</si>
  <si>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</si>
  <si>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</si>
  <si>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</si>
  <si>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</si>
  <si>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</si>
  <si>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</si>
  <si>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</si>
  <si>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</si>
  <si>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</si>
  <si>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</si>
  <si>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</si>
  <si>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</si>
  <si>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</si>
  <si>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</si>
  <si>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</si>
  <si>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</si>
  <si>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</si>
  <si>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</si>
  <si>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</si>
  <si>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</si>
  <si>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</si>
  <si>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</si>
  <si>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</si>
  <si>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</si>
  <si>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</si>
  <si>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</si>
  <si>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</si>
  <si>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</si>
  <si>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</si>
  <si>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</si>
  <si>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</si>
  <si>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</si>
  <si>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</si>
  <si>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</si>
  <si>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</si>
  <si>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</si>
  <si>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</si>
  <si>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</si>
  <si>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</si>
  <si>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</si>
  <si>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</si>
  <si>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</si>
  <si>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</si>
  <si>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</si>
  <si>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</si>
  <si>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</si>
  <si>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</si>
  <si>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</si>
  <si>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</si>
  <si>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</si>
  <si>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</si>
  <si>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</si>
  <si>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</si>
  <si>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</si>
  <si>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</si>
  <si>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</si>
  <si>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</si>
  <si>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</si>
  <si>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</si>
  <si>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</si>
  <si>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</si>
  <si>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</si>
  <si>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</si>
  <si>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</si>
  <si>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</si>
  <si>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</si>
  <si>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</si>
  <si>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</si>
  <si>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</si>
  <si>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</si>
  <si>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</si>
  <si>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</si>
  <si>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</si>
  <si>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</si>
  <si>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</si>
  <si>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</si>
  <si>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</si>
  <si>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</si>
  <si>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</si>
  <si>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</si>
  <si>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</si>
  <si>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</si>
  <si>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</si>
  <si>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</si>
  <si>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</si>
  <si>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</si>
  <si>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</si>
  <si>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</si>
  <si>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</si>
  <si>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</si>
  <si>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</si>
  <si>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</si>
  <si>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</si>
  <si>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</si>
  <si>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</si>
  <si>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</si>
  <si>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</si>
  <si>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</si>
  <si>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</si>
  <si>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</si>
  <si>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</si>
  <si>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</si>
  <si>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</si>
  <si>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</si>
  <si>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</si>
  <si>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</si>
  <si>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</si>
  <si>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</si>
  <si>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</si>
  <si>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</si>
  <si>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</si>
  <si>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</si>
  <si>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</si>
  <si>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</si>
  <si>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</si>
  <si>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</si>
  <si>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</si>
  <si>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</si>
  <si>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</si>
  <si>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</si>
  <si>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</si>
  <si>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</si>
  <si>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</si>
  <si>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</si>
  <si>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</si>
  <si>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</si>
  <si>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</si>
  <si>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</si>
  <si>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</si>
  <si>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</si>
  <si>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</si>
  <si>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</si>
  <si>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</si>
  <si>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</si>
  <si>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</si>
  <si>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</si>
  <si>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</si>
  <si>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</si>
  <si>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</si>
  <si>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</si>
  <si>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</si>
  <si>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</si>
  <si>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</si>
  <si>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</si>
  <si>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</si>
  <si>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</si>
  <si>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</si>
  <si>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</si>
  <si>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</si>
  <si>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</si>
  <si>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</si>
  <si>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</si>
  <si>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</si>
  <si>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</si>
  <si>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</si>
  <si>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</si>
  <si>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</si>
  <si>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</si>
  <si>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</si>
  <si>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</si>
  <si>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</si>
  <si>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</si>
  <si>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</si>
  <si>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</si>
  <si>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</si>
  <si>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</si>
  <si>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</si>
  <si>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</si>
  <si>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</si>
  <si>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</si>
  <si>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</si>
  <si>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</si>
  <si>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</si>
  <si>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</si>
  <si>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</si>
  <si>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</si>
  <si>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</si>
  <si>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</si>
  <si>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</si>
  <si>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</si>
  <si>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</si>
  <si>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</si>
  <si>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</si>
  <si>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</si>
  <si>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</si>
  <si>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</si>
  <si>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</si>
  <si>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</si>
  <si>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</si>
  <si>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</si>
  <si>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</si>
  <si>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</si>
  <si>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</si>
  <si>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</si>
  <si>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</si>
  <si>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</si>
  <si>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</si>
  <si>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</si>
  <si>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</si>
  <si>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</si>
  <si>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</si>
  <si>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</si>
  <si>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</si>
  <si>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</si>
  <si>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</si>
  <si>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</si>
  <si>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</si>
  <si>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</si>
  <si>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</si>
  <si>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</si>
  <si>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</si>
  <si>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</si>
  <si>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</si>
  <si>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</si>
  <si>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</si>
  <si>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</si>
  <si>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</si>
  <si>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</si>
  <si>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</si>
  <si>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</si>
  <si>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</si>
  <si>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</si>
  <si>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</si>
  <si>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</si>
  <si>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</si>
  <si>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</si>
  <si>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</si>
  <si>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</si>
  <si>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</si>
  <si>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</si>
  <si>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</si>
  <si>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</si>
  <si>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</si>
  <si>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</si>
  <si>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</si>
  <si>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</si>
  <si>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</si>
  <si>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</si>
  <si>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</si>
  <si>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</si>
  <si>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</si>
  <si>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</si>
  <si>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</si>
  <si>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</si>
  <si>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</si>
  <si>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</si>
  <si>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</si>
  <si>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</si>
  <si>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</si>
  <si>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</si>
  <si>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</si>
  <si>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</si>
  <si>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</si>
  <si>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</si>
  <si>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</si>
  <si>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</si>
  <si>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</si>
  <si>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</si>
  <si>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</si>
  <si>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</si>
  <si>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</si>
  <si>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</si>
  <si>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</si>
  <si>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</si>
  <si>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</si>
  <si>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</si>
  <si>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</si>
  <si>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</si>
  <si>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</si>
  <si>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</si>
  <si>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</si>
  <si>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</si>
  <si>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</si>
  <si>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</si>
  <si>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</si>
  <si>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</si>
  <si>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</si>
  <si>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</si>
  <si>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</si>
  <si>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</si>
  <si>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</si>
  <si>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</si>
  <si>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</si>
  <si>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</si>
  <si>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</si>
  <si>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</si>
  <si>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</si>
  <si>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</si>
  <si>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</si>
  <si>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</si>
  <si>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</si>
  <si>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</si>
  <si>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</si>
  <si>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</si>
  <si>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</si>
  <si>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</si>
  <si>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</si>
  <si>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</si>
  <si>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</si>
  <si>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</si>
  <si>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</si>
  <si>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</si>
  <si>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</si>
  <si>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</si>
  <si>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</si>
  <si>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</si>
  <si>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</si>
  <si>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</si>
  <si>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</si>
  <si>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</si>
  <si>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</si>
  <si>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</si>
  <si>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</si>
  <si>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</si>
  <si>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</si>
  <si>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</si>
  <si>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</si>
  <si>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</si>
  <si>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</si>
  <si>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</si>
  <si>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</si>
  <si>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</si>
  <si>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</si>
  <si>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</si>
  <si>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</si>
  <si>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</si>
  <si>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</si>
  <si>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</si>
  <si>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</si>
  <si>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</si>
  <si>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</si>
  <si>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</si>
  <si>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</si>
  <si>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</si>
  <si>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</si>
  <si>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</si>
  <si>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</si>
  <si>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</si>
  <si>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</si>
  <si>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</si>
  <si>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</si>
  <si>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</si>
  <si>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</si>
  <si>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</si>
  <si>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</si>
  <si>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</si>
  <si>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</si>
  <si>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</si>
  <si>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</si>
  <si>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</si>
  <si>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</si>
  <si>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</si>
  <si>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</si>
  <si>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</si>
  <si>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</si>
  <si>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</si>
  <si>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</si>
  <si>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</si>
  <si>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</si>
  <si>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</si>
  <si>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</si>
  <si>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</si>
  <si>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</si>
  <si>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</si>
  <si>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</si>
  <si>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</si>
  <si>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</si>
  <si>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</si>
  <si>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</si>
  <si>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</si>
  <si>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</si>
  <si>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</si>
  <si>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</si>
  <si>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</si>
  <si>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</si>
  <si>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</si>
  <si>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</si>
  <si>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</si>
  <si>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</si>
  <si>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</si>
  <si>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</si>
  <si>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</si>
  <si>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</si>
  <si>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</si>
  <si>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</si>
  <si>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</si>
  <si>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</si>
  <si>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</si>
  <si>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</si>
  <si>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</si>
  <si>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</si>
  <si>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</si>
  <si>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</si>
  <si>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</si>
  <si>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</si>
  <si>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</si>
  <si>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</si>
  <si>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</si>
  <si>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</si>
  <si>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</si>
  <si>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</si>
  <si>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</si>
  <si>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</si>
  <si>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</si>
  <si>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</si>
  <si>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</si>
  <si>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</si>
  <si>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</si>
  <si>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</si>
  <si>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</si>
  <si>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</si>
  <si>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</si>
  <si>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</si>
  <si>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</si>
  <si>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</si>
  <si>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</si>
  <si>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</si>
  <si>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</si>
  <si>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</si>
  <si>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</si>
  <si>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</si>
  <si>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</si>
  <si>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</si>
  <si>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</si>
  <si>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</si>
  <si>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</si>
  <si>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</si>
  <si>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</si>
  <si>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</si>
  <si>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</si>
  <si>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</si>
  <si>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</si>
  <si>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</si>
  <si>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</si>
  <si>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</si>
  <si>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</si>
  <si>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</si>
  <si>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</si>
  <si>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</si>
  <si>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</si>
  <si>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</si>
  <si>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</si>
  <si>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</si>
  <si>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</si>
  <si>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</si>
  <si>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</si>
  <si>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</si>
  <si>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</si>
  <si>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</si>
  <si>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</si>
  <si>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</si>
  <si>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</si>
  <si>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</si>
  <si>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</si>
  <si>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</si>
  <si>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</si>
  <si>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</si>
  <si>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</si>
  <si>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</si>
  <si>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</si>
  <si>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</si>
  <si>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</si>
  <si>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</si>
  <si>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</si>
  <si>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</si>
  <si>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</si>
  <si>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</si>
  <si>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</si>
  <si>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</si>
  <si>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</si>
  <si>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</si>
  <si>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</si>
  <si>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</si>
  <si>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</si>
  <si>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</si>
  <si>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</si>
  <si>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</si>
  <si>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</si>
  <si>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</si>
  <si>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</si>
  <si>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</si>
  <si>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</si>
  <si>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</si>
  <si>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</si>
  <si>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</si>
  <si>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</si>
  <si>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</si>
  <si>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</si>
  <si>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</si>
  <si>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</si>
  <si>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</si>
  <si>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</si>
  <si>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</si>
  <si>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</si>
  <si>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</si>
  <si>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</si>
  <si>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</si>
  <si>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</si>
  <si>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</si>
  <si>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</si>
  <si>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</si>
  <si>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</si>
  <si>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</si>
  <si>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</si>
  <si>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</si>
  <si>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</si>
  <si>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</si>
  <si>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</si>
  <si>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</si>
  <si>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</si>
  <si>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</si>
  <si>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</si>
  <si>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</si>
  <si>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</si>
  <si>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</si>
  <si>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</si>
  <si>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</si>
  <si>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</si>
  <si>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</si>
  <si>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</si>
  <si>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</si>
  <si>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</si>
  <si>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</si>
  <si>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</si>
  <si>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</si>
  <si>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</si>
  <si>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</si>
  <si>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</si>
  <si>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</si>
  <si>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</si>
  <si>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</si>
  <si>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</si>
  <si>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</si>
  <si>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</si>
  <si>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</si>
  <si>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</si>
  <si>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</si>
  <si>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</si>
  <si>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</si>
  <si>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</si>
  <si>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</si>
  <si>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</si>
  <si>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</si>
  <si>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</si>
  <si>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</si>
  <si>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</si>
  <si>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</si>
  <si>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</si>
  <si>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</si>
  <si>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</si>
  <si>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</si>
  <si>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</si>
  <si>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</si>
  <si>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</si>
  <si>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</si>
  <si>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</si>
  <si>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</si>
  <si>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</si>
  <si>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</si>
  <si>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</si>
  <si>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</si>
  <si>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</si>
  <si>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</si>
  <si>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</si>
  <si>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</si>
  <si>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</si>
  <si>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</si>
  <si>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</si>
  <si>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</si>
  <si>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</si>
  <si>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</si>
  <si>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</si>
  <si>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</si>
  <si>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</si>
  <si>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</si>
  <si>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</si>
  <si>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</si>
  <si>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</si>
  <si>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</si>
  <si>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</si>
  <si>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</si>
  <si>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</si>
  <si>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</si>
  <si>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</si>
  <si>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</si>
  <si>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</si>
  <si>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</si>
  <si>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</si>
  <si>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</si>
  <si>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</si>
  <si>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</si>
  <si>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</si>
  <si>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</si>
  <si>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</si>
  <si>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</si>
  <si>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</si>
  <si>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</si>
  <si>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</si>
  <si>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</si>
  <si>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</si>
  <si>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</si>
  <si>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</si>
  <si>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</si>
  <si>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</si>
  <si>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</si>
  <si>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</si>
  <si>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</si>
  <si>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</si>
  <si>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</si>
  <si>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</si>
  <si>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</si>
  <si>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</si>
  <si>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</si>
  <si>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</si>
  <si>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</si>
  <si>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</si>
  <si>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</si>
  <si>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</si>
  <si>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</si>
  <si>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</si>
  <si>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</si>
  <si>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</si>
  <si>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</si>
  <si>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</si>
  <si>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</si>
  <si>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</si>
  <si>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</si>
  <si>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</si>
  <si>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</si>
  <si>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</si>
  <si>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</si>
  <si>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</si>
  <si>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</si>
  <si>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</si>
  <si>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</si>
  <si>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</si>
  <si>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</si>
  <si>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</si>
  <si>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</si>
  <si>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</si>
  <si>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</si>
  <si>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</si>
  <si>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</si>
  <si>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</si>
  <si>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</si>
  <si>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</si>
  <si>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</si>
  <si>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</si>
  <si>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</si>
  <si>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</si>
  <si>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</si>
  <si>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</si>
  <si>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</si>
  <si>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</si>
  <si>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</si>
  <si>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</si>
  <si>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</si>
  <si>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</si>
  <si>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</si>
  <si>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</si>
  <si>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</si>
  <si>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</si>
  <si>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</si>
  <si>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</si>
  <si>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</si>
  <si>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</si>
  <si>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</si>
  <si>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</si>
  <si>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</si>
  <si>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</si>
  <si>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</si>
  <si>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</si>
  <si>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</si>
  <si>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</si>
  <si>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</si>
  <si>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</si>
  <si>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</si>
  <si>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</si>
  <si>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</si>
  <si>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</si>
  <si>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</si>
  <si>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</si>
  <si>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</si>
  <si>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</si>
  <si>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</si>
  <si>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</si>
  <si>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</si>
  <si>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</si>
  <si>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</si>
  <si>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</si>
  <si>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</si>
  <si>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</si>
  <si>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</si>
  <si>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</si>
  <si>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</si>
  <si>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</si>
  <si>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</si>
  <si>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</si>
  <si>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</si>
  <si>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</si>
  <si>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</si>
  <si>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</si>
  <si>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</si>
  <si>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</si>
  <si>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</si>
  <si>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</si>
  <si>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</si>
  <si>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</si>
  <si>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</si>
  <si>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</si>
  <si>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</si>
  <si>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</si>
  <si>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</si>
  <si>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</si>
  <si>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</si>
  <si>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</si>
  <si>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</si>
  <si>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</si>
  <si>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</si>
  <si>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</si>
  <si>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</si>
  <si>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</si>
  <si>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</si>
  <si>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</si>
  <si>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</si>
  <si>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</si>
  <si>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</si>
  <si>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</si>
  <si>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</si>
  <si>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</si>
  <si>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</si>
  <si>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</si>
  <si>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</si>
  <si>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</si>
  <si>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</si>
  <si>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</si>
  <si>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</si>
  <si>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</si>
  <si>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</si>
  <si>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</si>
  <si>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</si>
  <si>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</si>
  <si>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</si>
  <si>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</si>
  <si>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</si>
  <si>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</si>
  <si>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</si>
  <si>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</si>
  <si>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</si>
  <si>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</si>
  <si>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</si>
  <si>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</si>
  <si>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</si>
  <si>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</si>
  <si>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</si>
  <si>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</si>
  <si>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</si>
  <si>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</si>
  <si>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</si>
  <si>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</si>
  <si>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</si>
  <si>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</si>
  <si>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</si>
  <si>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</si>
  <si>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</si>
  <si>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</si>
  <si>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</si>
  <si>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</si>
  <si>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</si>
  <si>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</si>
  <si>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</si>
  <si>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</si>
  <si>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</si>
  <si>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</si>
  <si>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</si>
  <si>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</si>
  <si>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</si>
  <si>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</si>
  <si>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</si>
  <si>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</si>
  <si>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</si>
  <si>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</si>
  <si>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</si>
  <si>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</si>
  <si>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</si>
  <si>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</si>
  <si>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</si>
  <si>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</si>
  <si>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</si>
  <si>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</si>
  <si>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</si>
  <si>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</si>
  <si>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</si>
  <si>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</si>
  <si>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</si>
  <si>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</si>
  <si>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</si>
  <si>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</si>
  <si>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</si>
  <si>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</si>
  <si>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</si>
  <si>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</si>
  <si>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</si>
  <si>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</si>
  <si>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</si>
  <si>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</si>
  <si>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</si>
  <si>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</si>
  <si>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</si>
  <si>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</si>
  <si>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</si>
  <si>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</si>
  <si>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</si>
  <si>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</si>
  <si>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</si>
  <si>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</si>
  <si>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</si>
  <si>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</si>
  <si>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</si>
  <si>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</si>
  <si>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</si>
  <si>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</si>
  <si>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</si>
  <si>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</si>
  <si>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</si>
  <si>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</si>
  <si>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</si>
  <si>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</si>
  <si>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</si>
  <si>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</si>
  <si>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</si>
  <si>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</si>
  <si>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</si>
  <si>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</si>
  <si>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</si>
  <si>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</si>
  <si>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</si>
  <si>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</si>
  <si>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</si>
  <si>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</si>
  <si>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</si>
  <si>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</si>
  <si>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</si>
  <si>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</si>
  <si>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</si>
  <si>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</si>
  <si>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</si>
  <si>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</si>
  <si>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</si>
  <si>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</si>
  <si>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</si>
  <si>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</si>
  <si>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</si>
  <si>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</si>
  <si>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</si>
  <si>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</si>
  <si>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</si>
  <si>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</si>
  <si>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</si>
  <si>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</si>
  <si>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</si>
  <si>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</si>
  <si>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</si>
  <si>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</si>
  <si>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</si>
  <si>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</si>
  <si>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</si>
  <si>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</si>
  <si>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</si>
  <si>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</si>
  <si>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</si>
  <si>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</si>
  <si>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</si>
  <si>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</si>
  <si>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</si>
  <si>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</si>
  <si>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</si>
  <si>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</si>
  <si>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</si>
  <si>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</si>
  <si>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</si>
  <si>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</si>
  <si>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</si>
  <si>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</si>
  <si>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</si>
  <si>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</si>
  <si>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</si>
  <si>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</si>
  <si>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</si>
  <si>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</si>
  <si>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</si>
  <si>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</si>
  <si>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</si>
  <si>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</si>
  <si>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</si>
  <si>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</si>
  <si>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</si>
  <si>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</si>
  <si>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</si>
  <si>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</si>
  <si>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</si>
  <si>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</si>
  <si>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</si>
  <si>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</si>
  <si>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</si>
  <si>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</si>
  <si>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</si>
  <si>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</si>
  <si>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</si>
  <si>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</si>
  <si>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</si>
  <si>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</si>
  <si>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</si>
  <si>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</si>
  <si>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</si>
  <si>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</si>
  <si>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</si>
  <si>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</si>
  <si>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</si>
  <si>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</si>
  <si>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</si>
  <si>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</si>
  <si>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</si>
  <si>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</si>
  <si>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</si>
  <si>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</si>
  <si>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</si>
  <si>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</si>
  <si>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</si>
  <si>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</si>
  <si>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</si>
  <si>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</si>
  <si>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</si>
  <si>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</si>
  <si>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</si>
  <si>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</si>
  <si>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</si>
  <si>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</si>
  <si>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</si>
  <si>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</si>
  <si>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</si>
  <si>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</si>
  <si>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</si>
  <si>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</si>
  <si>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</si>
  <si>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</si>
  <si>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</si>
  <si>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</si>
  <si>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</si>
  <si>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</si>
  <si>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</si>
  <si>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</si>
  <si>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</si>
  <si>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</si>
  <si>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</si>
  <si>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</si>
  <si>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</si>
  <si>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</si>
  <si>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</si>
  <si>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</si>
  <si>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</si>
  <si>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</si>
  <si>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</si>
  <si>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</si>
  <si>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</si>
  <si>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</si>
  <si>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</si>
  <si>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</si>
  <si>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</si>
  <si>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</si>
  <si>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</si>
  <si>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</si>
  <si>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</si>
  <si>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</si>
  <si>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</si>
  <si>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</si>
  <si>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</si>
  <si>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</si>
  <si>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</si>
  <si>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</si>
  <si>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</si>
  <si>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</si>
  <si>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</si>
  <si>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</si>
  <si>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</si>
  <si>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</si>
  <si>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</si>
  <si>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</si>
  <si>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</si>
  <si>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</si>
  <si>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</si>
  <si>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</si>
  <si>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</si>
  <si>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</si>
  <si>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</si>
  <si>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</si>
  <si>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</si>
  <si>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</si>
  <si>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</si>
  <si>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</si>
  <si>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</si>
  <si>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</si>
  <si>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</si>
  <si>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</si>
  <si>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</si>
  <si>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</si>
  <si>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</si>
  <si>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</si>
  <si>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</si>
  <si>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</si>
  <si>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</si>
  <si>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</si>
  <si>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</si>
  <si>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</si>
  <si>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</si>
  <si>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</si>
  <si>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</si>
  <si>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</si>
  <si>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</si>
  <si>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</si>
  <si>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</si>
  <si>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</si>
  <si>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</si>
  <si>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</si>
  <si>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</si>
  <si>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</si>
  <si>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</si>
  <si>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</si>
  <si>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</si>
  <si>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</si>
  <si>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</si>
  <si>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</si>
  <si>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</si>
  <si>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</si>
  <si>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</si>
  <si>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</si>
  <si>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</si>
  <si>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</si>
  <si>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</si>
  <si>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</si>
  <si>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</si>
  <si>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</si>
  <si>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</si>
  <si>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</si>
  <si>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</si>
  <si>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</si>
  <si>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</si>
  <si>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</si>
  <si>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</si>
  <si>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</si>
  <si>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</si>
  <si>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</si>
  <si>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</si>
  <si>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</si>
  <si>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</si>
  <si>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</si>
  <si>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</si>
  <si>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</si>
  <si>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</si>
  <si>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</si>
  <si>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</si>
  <si>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</si>
  <si>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</si>
  <si>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</si>
  <si>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</si>
  <si>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</si>
  <si>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</si>
  <si>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</si>
  <si>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</si>
  <si>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</si>
  <si>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</si>
  <si>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</si>
  <si>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</si>
  <si>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</si>
  <si>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</si>
  <si>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</si>
  <si>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</si>
  <si>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</si>
  <si>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</si>
  <si>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</si>
  <si>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</si>
  <si>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</si>
  <si>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</si>
  <si>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</si>
  <si>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</si>
  <si>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</si>
  <si>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</si>
  <si>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</si>
  <si>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</si>
  <si>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</si>
  <si>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</si>
  <si>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</si>
  <si>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</si>
  <si>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</si>
  <si>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</si>
  <si>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</si>
  <si>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</si>
  <si>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</si>
  <si>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</si>
  <si>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</si>
  <si>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</si>
  <si>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</si>
  <si>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</si>
  <si>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</si>
  <si>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</si>
  <si>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</si>
  <si>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</si>
  <si>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</si>
  <si>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</si>
  <si>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</si>
  <si>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</si>
  <si>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</si>
  <si>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</si>
  <si>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</si>
  <si>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</si>
  <si>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</si>
  <si>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</si>
  <si>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</si>
  <si>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</si>
  <si>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</si>
  <si>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</si>
  <si>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</si>
  <si>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</si>
  <si>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</si>
  <si>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</si>
  <si>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</si>
  <si>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</si>
  <si>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</si>
  <si>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</si>
  <si>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</si>
  <si>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</si>
  <si>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</si>
  <si>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</si>
  <si>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</si>
  <si>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</si>
  <si>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</si>
  <si>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</si>
  <si>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</si>
  <si>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</si>
  <si>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</si>
  <si>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</si>
  <si>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</si>
  <si>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</si>
  <si>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</si>
  <si>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</si>
  <si>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</si>
  <si>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</si>
  <si>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</si>
  <si>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</si>
  <si>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</si>
  <si>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</si>
  <si>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</si>
  <si>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</si>
  <si>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</si>
  <si>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</si>
  <si>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</si>
  <si>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</si>
  <si>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</si>
  <si>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</si>
  <si>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</si>
  <si>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</si>
  <si>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</si>
  <si>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</si>
  <si>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</si>
  <si>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</si>
  <si>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</si>
  <si>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</si>
  <si>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</si>
  <si>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</si>
  <si>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</si>
  <si>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</si>
  <si>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</si>
  <si>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</si>
  <si>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</si>
  <si>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</si>
  <si>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</si>
  <si>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</si>
  <si>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</si>
  <si>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</si>
  <si>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</si>
  <si>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</si>
  <si>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</si>
  <si>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</si>
  <si>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</si>
  <si>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</si>
  <si>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</si>
  <si>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</si>
  <si>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</si>
  <si>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</si>
  <si>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</si>
  <si>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</si>
  <si>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</si>
  <si>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</si>
  <si>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</si>
  <si>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</si>
  <si>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</si>
  <si>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</si>
  <si>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</si>
  <si>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</si>
  <si>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</si>
  <si>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</si>
  <si>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</si>
  <si>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</si>
  <si>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</si>
  <si>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</si>
  <si>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</si>
  <si>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</si>
  <si>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</si>
  <si>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</si>
  <si>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</si>
  <si>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</si>
  <si>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</si>
  <si>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</si>
  <si>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</si>
  <si>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</si>
  <si>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</si>
  <si>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</si>
  <si>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</si>
  <si>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</si>
  <si>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</si>
  <si>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</si>
  <si>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</si>
  <si>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</si>
  <si>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</si>
  <si>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</si>
  <si>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</si>
  <si>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</si>
  <si>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</si>
  <si>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</si>
  <si>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</si>
  <si>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</si>
  <si>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</si>
  <si>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</si>
  <si>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</si>
  <si>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</si>
  <si>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</si>
  <si>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</si>
  <si>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</si>
  <si>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</si>
  <si>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</si>
  <si>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</si>
  <si>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</si>
  <si>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</si>
  <si>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</si>
  <si>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</si>
  <si>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</si>
  <si>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</si>
  <si>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</si>
  <si>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</si>
  <si>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</si>
  <si>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</si>
  <si>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</si>
  <si>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</si>
  <si>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</si>
  <si>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</si>
  <si>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</si>
  <si>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</si>
  <si>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</si>
  <si>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</si>
  <si>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</si>
  <si>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</si>
  <si>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</si>
  <si>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</si>
  <si>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</si>
  <si>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</si>
  <si>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</si>
  <si>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</si>
  <si>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</si>
  <si>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</si>
  <si>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</si>
  <si>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</si>
  <si>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</si>
  <si>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</si>
  <si>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</si>
  <si>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</si>
  <si>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</si>
  <si>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</si>
  <si>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</si>
  <si>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</si>
  <si>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</si>
  <si>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</si>
  <si>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</si>
  <si>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</si>
  <si>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</si>
  <si>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</si>
  <si>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</si>
  <si>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</si>
  <si>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</si>
  <si>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</si>
  <si>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</si>
  <si>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</si>
  <si>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</si>
  <si>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</si>
  <si>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</si>
  <si>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</si>
  <si>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</si>
  <si>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</si>
  <si>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</si>
  <si>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</si>
  <si>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</si>
  <si>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</si>
  <si>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</si>
  <si>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</si>
  <si>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</si>
  <si>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</si>
  <si>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</si>
  <si>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</si>
  <si>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</si>
  <si>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</si>
  <si>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</si>
  <si>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</si>
  <si>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</si>
  <si>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</si>
  <si>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</si>
  <si>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</si>
  <si>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</si>
  <si>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</si>
  <si>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</si>
  <si>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</si>
  <si>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</si>
  <si>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</si>
  <si>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</si>
  <si>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</si>
  <si>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</si>
  <si>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</si>
  <si>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</si>
  <si>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</si>
  <si>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</si>
  <si>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</si>
  <si>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</si>
  <si>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</si>
  <si>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</si>
  <si>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</si>
  <si>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</si>
  <si>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</si>
  <si>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</si>
  <si>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</si>
  <si>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</si>
  <si>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</si>
  <si>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</si>
  <si>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</si>
  <si>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</si>
  <si>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</si>
  <si>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</si>
  <si>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</si>
  <si>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</si>
  <si>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</si>
  <si>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</si>
  <si>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</si>
  <si>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</si>
  <si>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</si>
  <si>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</si>
  <si>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</si>
  <si>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</si>
  <si>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</si>
  <si>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</si>
  <si>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</si>
  <si>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</si>
  <si>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</si>
  <si>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</si>
  <si>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</si>
  <si>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</si>
  <si>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</si>
  <si>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</si>
  <si>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</si>
  <si>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</si>
  <si>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</si>
  <si>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</si>
  <si>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</si>
  <si>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</si>
  <si>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</si>
  <si>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</si>
  <si>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</si>
  <si>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</si>
  <si>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</si>
  <si>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</si>
  <si>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</si>
  <si>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</si>
  <si>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</si>
  <si>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</si>
  <si>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</si>
  <si>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</si>
  <si>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</si>
  <si>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</si>
  <si>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</si>
  <si>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</si>
  <si>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</si>
  <si>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</si>
  <si>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</si>
  <si>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</si>
  <si>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</si>
  <si>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</si>
  <si>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</si>
  <si>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</si>
  <si>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</si>
  <si>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</si>
  <si>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</si>
  <si>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</si>
  <si>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</si>
  <si>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</si>
  <si>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</si>
  <si>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</si>
  <si>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</si>
  <si>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</si>
  <si>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</si>
  <si>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</si>
  <si>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</si>
  <si>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</si>
  <si>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</si>
  <si>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</si>
  <si>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</si>
  <si>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</si>
  <si>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</si>
  <si>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</si>
  <si>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</si>
  <si>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</si>
  <si>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</si>
  <si>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</si>
  <si>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</si>
  <si>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</si>
  <si>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</si>
  <si>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</si>
  <si>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</si>
  <si>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</si>
  <si>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</si>
  <si>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</si>
  <si>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</si>
  <si>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</si>
  <si>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</si>
  <si>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</si>
  <si>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</si>
  <si>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</si>
  <si>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</si>
  <si>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</si>
  <si>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</si>
  <si>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</si>
  <si>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</si>
  <si>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</si>
  <si>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</si>
  <si>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</si>
  <si>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</si>
  <si>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</si>
  <si>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</si>
  <si>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</si>
  <si>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</si>
  <si>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</si>
  <si>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</si>
  <si>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</si>
  <si>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</si>
  <si>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</si>
  <si>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</si>
  <si>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</si>
  <si>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</si>
  <si>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</si>
  <si>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</si>
  <si>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</si>
  <si>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</si>
  <si>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</si>
  <si>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</si>
  <si>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</si>
  <si>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</si>
  <si>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</si>
  <si>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</si>
  <si>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</si>
  <si>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</si>
  <si>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</si>
  <si>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</si>
  <si>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</si>
  <si>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</si>
  <si>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</si>
  <si>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</si>
  <si>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</si>
  <si>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</si>
  <si>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</si>
  <si>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</si>
  <si>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</si>
  <si>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</si>
  <si>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</si>
  <si>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</si>
  <si>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</si>
  <si>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</si>
  <si>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</si>
  <si>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</si>
  <si>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</si>
  <si>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</si>
  <si>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</si>
  <si>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</si>
  <si>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</si>
  <si>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</si>
  <si>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</si>
  <si>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</si>
  <si>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</si>
  <si>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</si>
  <si>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</si>
  <si>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</si>
  <si>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</si>
  <si>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</si>
  <si>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</si>
  <si>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</si>
  <si>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</si>
  <si>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</si>
  <si>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</si>
  <si>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</si>
  <si>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</si>
  <si>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</si>
  <si>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</si>
  <si>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</si>
  <si>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</si>
  <si>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</si>
  <si>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</si>
  <si>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</si>
  <si>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</si>
  <si>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</si>
  <si>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</si>
  <si>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</si>
  <si>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</si>
  <si>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</si>
  <si>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</si>
  <si>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</si>
  <si>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</si>
  <si>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</si>
  <si>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</si>
  <si>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</si>
  <si>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</si>
  <si>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</si>
  <si>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</si>
  <si>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</si>
  <si>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</si>
  <si>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</si>
  <si>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</si>
  <si>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</si>
  <si>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</si>
  <si>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</si>
  <si>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</si>
  <si>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</si>
  <si>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</si>
  <si>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</si>
  <si>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</si>
  <si>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</si>
  <si>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</si>
  <si>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</si>
  <si>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</si>
  <si>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</si>
  <si>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</si>
  <si>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</si>
  <si>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</si>
  <si>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</si>
  <si>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</si>
  <si>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</si>
  <si>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</si>
  <si>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</si>
  <si>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</si>
  <si>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</si>
  <si>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</si>
  <si>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</si>
  <si>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</si>
  <si>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</si>
  <si>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</si>
  <si>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</si>
  <si>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</si>
  <si>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</si>
  <si>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</si>
  <si>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</si>
  <si>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</si>
  <si>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</si>
  <si>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</si>
  <si>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</si>
  <si>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</si>
  <si>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</si>
  <si>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</si>
  <si>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</si>
  <si>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</si>
  <si>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</si>
  <si>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</si>
  <si>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</si>
  <si>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</si>
  <si>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</si>
  <si>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</si>
  <si>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</si>
  <si>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</si>
  <si>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</si>
  <si>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</si>
  <si>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</si>
  <si>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</si>
  <si>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</si>
  <si>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</si>
  <si>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</si>
  <si>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</si>
  <si>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</si>
  <si>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</si>
  <si>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</si>
  <si>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</si>
  <si>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</si>
  <si>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</si>
  <si>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</si>
  <si>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</si>
  <si>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</si>
  <si>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</si>
  <si>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</si>
  <si>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</si>
  <si>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</si>
  <si>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</si>
  <si>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</si>
  <si>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</si>
  <si>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</si>
  <si>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</si>
  <si>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</si>
  <si>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</si>
  <si>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</si>
  <si>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</si>
  <si>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</si>
  <si>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</si>
  <si>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</si>
  <si>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</si>
  <si>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</si>
  <si>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</si>
  <si>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</si>
  <si>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</si>
  <si>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</si>
  <si>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</si>
  <si>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</si>
  <si>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</si>
  <si>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</si>
  <si>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</si>
  <si>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</si>
  <si>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</si>
  <si>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</si>
  <si>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</si>
  <si>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</si>
  <si>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</si>
  <si>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</si>
  <si>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</si>
  <si>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</si>
  <si>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</si>
  <si>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</si>
  <si>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</si>
  <si>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</si>
  <si>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</si>
  <si>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</si>
  <si>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</si>
  <si>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</si>
  <si>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</si>
  <si>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</si>
  <si>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</si>
  <si>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</si>
  <si>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</si>
  <si>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</si>
  <si>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</si>
  <si>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</si>
  <si>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</si>
  <si>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</si>
  <si>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</si>
  <si>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</si>
  <si>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</si>
  <si>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</si>
  <si>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</si>
  <si>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</si>
  <si>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</si>
  <si>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</si>
  <si>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</si>
  <si>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</si>
  <si>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</si>
  <si>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</si>
  <si>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</si>
  <si>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</si>
  <si>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</si>
  <si>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</si>
  <si>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</si>
  <si>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</si>
  <si>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</si>
  <si>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</si>
  <si>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</si>
  <si>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</si>
  <si>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</si>
  <si>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</si>
  <si>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</si>
  <si>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</si>
  <si>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</si>
  <si>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</si>
  <si>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</si>
  <si>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</si>
  <si>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</si>
  <si>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</si>
  <si>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</si>
  <si>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</si>
  <si>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</si>
  <si>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</si>
  <si>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</si>
  <si>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</si>
  <si>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</si>
  <si>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</si>
  <si>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</si>
  <si>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</si>
  <si>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</si>
  <si>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</si>
  <si>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</si>
  <si>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</si>
  <si>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</si>
  <si>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</si>
  <si>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</si>
  <si>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</si>
  <si>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</si>
  <si>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</si>
  <si>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</si>
  <si>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</si>
  <si>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</si>
  <si>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</si>
  <si>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</si>
  <si>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</si>
  <si>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</si>
  <si>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</si>
  <si>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</si>
  <si>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</si>
  <si>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</si>
  <si>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</si>
  <si>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</si>
  <si>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</si>
  <si>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</si>
  <si>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</si>
  <si>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</si>
  <si>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</si>
  <si>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</si>
  <si>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</si>
  <si>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</si>
  <si>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</si>
  <si>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</si>
  <si>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</si>
  <si>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</si>
  <si>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</si>
  <si>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</si>
  <si>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</si>
  <si>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</si>
  <si>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</si>
  <si>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</si>
  <si>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</si>
  <si>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</si>
  <si>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</si>
  <si>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</si>
  <si>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</si>
  <si>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</si>
  <si>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</si>
  <si>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</si>
  <si>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</si>
  <si>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</si>
  <si>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</si>
  <si>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</si>
  <si>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</si>
  <si>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</si>
  <si>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</si>
  <si>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</si>
  <si>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</si>
  <si>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</si>
  <si>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</si>
  <si>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</si>
  <si>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</si>
  <si>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</si>
  <si>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</si>
  <si>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</si>
  <si>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</si>
  <si>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</si>
  <si>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</si>
  <si>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</si>
  <si>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</si>
  <si>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</si>
  <si>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</si>
  <si>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</si>
  <si>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</si>
  <si>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</si>
  <si>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</si>
  <si>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</si>
  <si>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</si>
  <si>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</si>
  <si>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</si>
  <si>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</si>
  <si>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</si>
  <si>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</si>
  <si>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</si>
  <si>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</si>
  <si>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</si>
  <si>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</si>
  <si>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</si>
  <si>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</si>
  <si>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</si>
  <si>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</si>
  <si>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</si>
  <si>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</si>
  <si>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</si>
  <si>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</si>
  <si>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</si>
  <si>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</si>
  <si>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</si>
  <si>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</si>
  <si>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</si>
  <si>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</si>
  <si>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</si>
  <si>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</si>
  <si>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</si>
  <si>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</si>
  <si>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</si>
  <si>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</si>
  <si>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</si>
  <si>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</si>
  <si>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</si>
  <si>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</si>
  <si>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</si>
  <si>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</si>
  <si>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</si>
  <si>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</si>
  <si>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</si>
  <si>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</si>
  <si>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</si>
  <si>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</si>
  <si>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</si>
  <si>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</si>
  <si>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</si>
  <si>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</si>
  <si>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</si>
  <si>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</si>
  <si>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</si>
  <si>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</si>
  <si>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</si>
  <si>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</si>
  <si>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</si>
  <si>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</si>
  <si>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</si>
  <si>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</si>
  <si>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</si>
  <si>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</si>
  <si>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</si>
  <si>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</si>
  <si>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</si>
  <si>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</si>
  <si>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</si>
  <si>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</si>
  <si>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</si>
  <si>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</si>
  <si>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</si>
  <si>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</si>
  <si>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</si>
  <si>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</si>
  <si>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</si>
  <si>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</si>
  <si>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</si>
  <si>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</si>
  <si>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</si>
  <si>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</si>
  <si>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</si>
  <si>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</si>
  <si>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</si>
  <si>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</si>
  <si>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</si>
  <si>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</si>
  <si>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</si>
  <si>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</si>
  <si>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</si>
  <si>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</si>
  <si>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</si>
  <si>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</si>
  <si>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</si>
  <si>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</si>
  <si>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</si>
  <si>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</si>
  <si>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</si>
  <si>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</si>
  <si>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</si>
  <si>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</si>
  <si>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</si>
  <si>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</si>
  <si>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</si>
  <si>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</si>
  <si>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</si>
  <si>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</si>
  <si>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</si>
  <si>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</si>
  <si>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</si>
  <si>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</si>
  <si>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</si>
  <si>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</si>
  <si>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</si>
  <si>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</si>
  <si>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</si>
  <si>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</si>
  <si>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</si>
  <si>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</si>
  <si>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</si>
  <si>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</si>
  <si>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</si>
  <si>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</si>
  <si>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</si>
  <si>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</si>
  <si>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</si>
  <si>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</si>
  <si>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</si>
  <si>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</si>
  <si>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</si>
  <si>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</si>
  <si>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</si>
  <si>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</si>
  <si>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</si>
  <si>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</si>
  <si>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</si>
  <si>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</si>
  <si>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</si>
  <si>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</si>
  <si>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</si>
  <si>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</si>
  <si>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</si>
  <si>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</si>
  <si>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</si>
  <si>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</si>
  <si>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</si>
  <si>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</si>
  <si>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</si>
  <si>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</si>
  <si>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</si>
  <si>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</si>
  <si>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</si>
  <si>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</si>
  <si>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</si>
  <si>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</si>
  <si>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</si>
  <si>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</si>
  <si>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</si>
  <si>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</si>
  <si>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</si>
  <si>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</si>
  <si>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</si>
  <si>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</si>
  <si>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</si>
  <si>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</si>
  <si>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</si>
  <si>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</si>
  <si>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</si>
  <si>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</si>
  <si>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</si>
  <si>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</si>
  <si>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</si>
  <si>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</si>
  <si>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</si>
  <si>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</si>
  <si>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</si>
  <si>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</si>
  <si>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</si>
  <si>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</si>
  <si>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</si>
  <si>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</si>
  <si>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</si>
  <si>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</si>
  <si>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</si>
  <si>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</si>
  <si>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</si>
  <si>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</si>
  <si>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</si>
  <si>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</si>
  <si>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</si>
  <si>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</si>
  <si>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</si>
  <si>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</si>
  <si>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</si>
  <si>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</si>
  <si>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</si>
  <si>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</si>
  <si>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</si>
  <si>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</si>
  <si>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</si>
  <si>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</si>
  <si>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</si>
  <si>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</si>
  <si>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</si>
  <si>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</si>
  <si>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</si>
  <si>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</si>
  <si>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</si>
  <si>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</si>
  <si>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</si>
  <si>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</si>
  <si>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</si>
  <si>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</si>
  <si>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</si>
  <si>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</si>
  <si>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</si>
  <si>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</si>
  <si>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</si>
  <si>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</si>
  <si>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</si>
  <si>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</si>
  <si>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</si>
  <si>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</si>
  <si>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</si>
  <si>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</si>
  <si>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</si>
  <si>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</si>
  <si>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</si>
  <si>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</si>
  <si>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</si>
  <si>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</si>
  <si>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</si>
  <si>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</si>
  <si>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</si>
  <si>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</si>
  <si>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</si>
  <si>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</si>
  <si>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</si>
  <si>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</si>
  <si>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</si>
  <si>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</si>
  <si>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</si>
  <si>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</si>
  <si>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</si>
  <si>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</si>
  <si>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</si>
  <si>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</si>
  <si>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</si>
  <si>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</si>
  <si>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</si>
  <si>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</si>
  <si>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</si>
  <si>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</si>
  <si>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</si>
  <si>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</si>
  <si>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</si>
  <si>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</si>
  <si>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</si>
  <si>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</si>
  <si>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</si>
  <si>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</si>
  <si>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</si>
  <si>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</si>
  <si>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</si>
  <si>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</si>
  <si>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</si>
  <si>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</si>
  <si>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</si>
  <si>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</si>
  <si>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</si>
  <si>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</si>
  <si>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</si>
  <si>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</si>
  <si>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</si>
  <si>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</si>
  <si>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</si>
  <si>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</si>
  <si>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</si>
  <si>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</si>
  <si>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</si>
  <si>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</si>
  <si>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</si>
  <si>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</si>
  <si>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</si>
  <si>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</si>
  <si>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</si>
  <si>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</si>
  <si>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</si>
  <si>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</si>
  <si>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</si>
  <si>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</si>
  <si>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</si>
  <si>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</si>
  <si>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</si>
  <si>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</si>
  <si>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</si>
  <si>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</si>
  <si>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</si>
  <si>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</si>
  <si>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</si>
  <si>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</si>
  <si>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</si>
  <si>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</si>
  <si>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</si>
  <si>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</si>
  <si>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</si>
  <si>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</si>
  <si>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</si>
  <si>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</si>
  <si>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</si>
  <si>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</si>
  <si>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</si>
  <si>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</si>
  <si>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</si>
  <si>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</si>
  <si>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</si>
  <si>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</si>
  <si>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</si>
  <si>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</si>
  <si>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</si>
  <si>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</si>
  <si>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</si>
  <si>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</si>
  <si>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</si>
  <si>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</si>
  <si>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</si>
  <si>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</si>
  <si>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</si>
  <si>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</si>
  <si>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</si>
  <si>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</si>
  <si>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</si>
  <si>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</si>
  <si>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</si>
  <si>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</si>
  <si>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</si>
  <si>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</si>
  <si>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</si>
  <si>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</si>
  <si>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</si>
  <si>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</si>
  <si>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</si>
  <si>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</si>
  <si>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</si>
  <si>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</si>
  <si>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</si>
  <si>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</si>
  <si>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</si>
  <si>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</si>
  <si>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</si>
  <si>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</si>
  <si>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</si>
  <si>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</si>
  <si>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</si>
  <si>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</si>
  <si>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</si>
  <si>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</si>
  <si>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</si>
  <si>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</si>
  <si>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</si>
  <si>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</si>
  <si>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</si>
  <si>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</si>
  <si>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</si>
  <si>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</si>
  <si>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</si>
  <si>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</si>
  <si>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</si>
  <si>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</si>
  <si>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</si>
  <si>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</si>
  <si>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</si>
  <si>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</si>
  <si>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</si>
  <si>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</si>
  <si>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</si>
  <si>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</si>
  <si>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</si>
  <si>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</si>
  <si>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</si>
  <si>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</si>
  <si>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</si>
  <si>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</si>
  <si>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</si>
  <si>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</si>
  <si>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</si>
  <si>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</si>
  <si>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</si>
  <si>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</si>
  <si>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</si>
  <si>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</si>
  <si>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</si>
  <si>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</si>
  <si>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</si>
  <si>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</si>
  <si>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</si>
  <si>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</si>
  <si>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</si>
  <si>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</si>
  <si>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</si>
  <si>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</si>
  <si>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</si>
  <si>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</si>
  <si>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</si>
  <si>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</si>
  <si>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</si>
  <si>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</si>
  <si>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</si>
  <si>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</si>
  <si>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</si>
  <si>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</si>
  <si>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</si>
  <si>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</si>
  <si>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</si>
  <si>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</si>
  <si>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</si>
  <si>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</si>
  <si>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</si>
  <si>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</si>
  <si>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</si>
  <si>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</si>
  <si>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</si>
  <si>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</si>
  <si>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</si>
  <si>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</si>
  <si>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</si>
  <si>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</si>
  <si>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</si>
  <si>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</si>
  <si>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</si>
  <si>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</si>
  <si>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</si>
  <si>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</si>
  <si>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</si>
  <si>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</si>
  <si>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</si>
  <si>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</si>
  <si>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</si>
  <si>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</si>
  <si>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</si>
  <si>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</si>
  <si>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</si>
  <si>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</si>
  <si>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</si>
  <si>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</si>
  <si>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</si>
  <si>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</si>
  <si>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</si>
  <si>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</si>
  <si>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</si>
  <si>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</si>
  <si>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</si>
  <si>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</si>
  <si>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</si>
  <si>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</si>
  <si>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</si>
  <si>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</si>
  <si>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</si>
  <si>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</si>
  <si>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</si>
  <si>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</si>
  <si>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</si>
  <si>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</si>
  <si>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</si>
  <si>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</si>
  <si>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</si>
  <si>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</si>
  <si>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</si>
  <si>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</si>
  <si>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</si>
  <si>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</si>
  <si>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</si>
  <si>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</si>
  <si>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</si>
  <si>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</si>
  <si>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</si>
  <si>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</si>
  <si>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</si>
  <si>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</si>
  <si>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</si>
  <si>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</si>
  <si>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</si>
  <si>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</si>
  <si>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</si>
  <si>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</si>
  <si>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</si>
  <si>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</si>
  <si>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</si>
  <si>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</si>
  <si>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</si>
  <si>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</si>
  <si>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</si>
  <si>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</si>
  <si>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</si>
  <si>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</si>
  <si>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</si>
  <si>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</si>
  <si>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</si>
  <si>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</si>
  <si>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</si>
  <si>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</si>
  <si>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</si>
  <si>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</si>
  <si>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</si>
  <si>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</si>
  <si>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</si>
  <si>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</si>
  <si>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</si>
  <si>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</si>
  <si>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</si>
  <si>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</si>
  <si>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</si>
  <si>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</si>
  <si>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</si>
  <si>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</si>
  <si>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</si>
  <si>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</si>
  <si>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</si>
  <si>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</si>
  <si>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</si>
  <si>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</si>
  <si>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</si>
  <si>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</si>
  <si>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</si>
  <si>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</si>
  <si>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</si>
  <si>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</si>
  <si>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</si>
  <si>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</si>
  <si>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</si>
  <si>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</si>
  <si>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</si>
  <si>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</si>
  <si>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</si>
  <si>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</si>
  <si>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</si>
  <si>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</si>
  <si>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</si>
  <si>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</si>
  <si>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</si>
  <si>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</si>
  <si>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</si>
  <si>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</si>
  <si>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</si>
  <si>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</si>
  <si>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</si>
  <si>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</si>
  <si>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</si>
  <si>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</si>
  <si>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</si>
  <si>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</si>
  <si>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</si>
  <si>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</si>
  <si>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</si>
  <si>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</si>
  <si>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</si>
  <si>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</si>
  <si>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</si>
  <si>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</si>
  <si>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</si>
  <si>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</si>
  <si>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</si>
  <si>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</si>
  <si>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</si>
  <si>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</si>
  <si>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</si>
  <si>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</si>
  <si>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</si>
  <si>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</si>
  <si>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</si>
  <si>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</si>
  <si>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</si>
  <si>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</si>
  <si>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</si>
  <si>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</si>
  <si>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</si>
  <si>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</si>
  <si>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</si>
  <si>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</si>
  <si>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</si>
  <si>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</si>
  <si>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</si>
  <si>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</si>
  <si>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</si>
  <si>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</si>
  <si>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</si>
  <si>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</si>
  <si>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</si>
  <si>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</si>
  <si>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</si>
  <si>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</si>
  <si>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</si>
  <si>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</si>
  <si>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</si>
  <si>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</si>
  <si>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</si>
  <si>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</si>
  <si>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</si>
  <si>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</si>
  <si>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</si>
  <si>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</si>
  <si>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</si>
  <si>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</si>
  <si>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</si>
  <si>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</si>
  <si>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</si>
  <si>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</si>
  <si>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</si>
  <si>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</si>
  <si>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</si>
  <si>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</si>
  <si>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</si>
  <si>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</si>
  <si>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</si>
  <si>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</si>
  <si>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</si>
  <si>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</si>
  <si>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</si>
  <si>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</si>
  <si>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</si>
  <si>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</si>
  <si>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</si>
  <si>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</si>
  <si>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</si>
  <si>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</si>
  <si>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</si>
  <si>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</si>
  <si>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</si>
  <si>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</si>
  <si>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</si>
  <si>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</si>
  <si>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</si>
  <si>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</si>
  <si>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</si>
  <si>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</si>
  <si>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</si>
  <si>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</si>
  <si>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</si>
  <si>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</si>
  <si>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</si>
  <si>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</si>
  <si>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</si>
  <si>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</si>
  <si>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</si>
  <si>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</si>
  <si>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</si>
  <si>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</si>
  <si>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</si>
  <si>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</si>
  <si>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</si>
  <si>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</si>
  <si>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</si>
  <si>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</si>
  <si>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</si>
  <si>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</si>
  <si>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</si>
  <si>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</si>
  <si>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</si>
  <si>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</si>
  <si>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</si>
  <si>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</si>
  <si>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</si>
  <si>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</si>
  <si>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</si>
  <si>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</si>
  <si>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</si>
  <si>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</si>
  <si>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</si>
  <si>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</si>
  <si>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</si>
  <si>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</si>
  <si>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</si>
  <si>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</si>
  <si>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</si>
  <si>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</si>
  <si>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</si>
  <si>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</si>
  <si>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</si>
  <si>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</si>
  <si>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</si>
  <si>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</si>
  <si>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</si>
  <si>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</si>
  <si>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</si>
  <si>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</si>
  <si>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</si>
  <si>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</si>
  <si>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</si>
  <si>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</si>
  <si>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</si>
  <si>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</si>
  <si>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</si>
  <si>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</si>
  <si>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</si>
  <si>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</si>
  <si>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</si>
  <si>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</si>
  <si>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</si>
  <si>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</si>
  <si>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</si>
  <si>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</si>
  <si>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</si>
  <si>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</si>
  <si>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</si>
  <si>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</si>
  <si>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</si>
  <si>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</si>
  <si>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</si>
  <si>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</si>
  <si>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</si>
  <si>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</si>
  <si>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</si>
  <si>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</si>
  <si>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</si>
  <si>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</si>
  <si>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</si>
  <si>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</si>
  <si>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</si>
  <si>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</si>
  <si>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</si>
  <si>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</si>
  <si>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</si>
  <si>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</si>
  <si>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</si>
  <si>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</si>
  <si>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</si>
  <si>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</si>
  <si>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</si>
  <si>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</si>
  <si>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</si>
  <si>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</si>
  <si>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</si>
  <si>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</si>
  <si>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</si>
  <si>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</si>
  <si>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</si>
  <si>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</si>
  <si>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</si>
  <si>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</si>
  <si>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</si>
  <si>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</si>
  <si>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</si>
  <si>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</si>
  <si>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</si>
  <si>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</si>
  <si>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</si>
  <si>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</si>
  <si>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</si>
  <si>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</si>
  <si>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</si>
  <si>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</si>
  <si>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</si>
  <si>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</si>
  <si>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</si>
  <si>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</si>
  <si>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</si>
  <si>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</si>
  <si>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</si>
  <si>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</si>
  <si>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</si>
  <si>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</si>
  <si>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</si>
  <si>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</si>
  <si>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</si>
  <si>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</si>
  <si>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</si>
  <si>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</si>
  <si>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</si>
  <si>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</si>
  <si>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</si>
  <si>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</si>
  <si>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</si>
  <si>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</si>
  <si>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</si>
  <si>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</si>
  <si>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</si>
  <si>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</si>
  <si>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</si>
  <si>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</si>
  <si>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</si>
  <si>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</si>
  <si>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</si>
  <si>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</si>
  <si>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</si>
  <si>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</si>
  <si>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</si>
  <si>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</si>
  <si>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</si>
  <si>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</si>
  <si>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</si>
  <si>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</si>
  <si>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</si>
  <si>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</si>
  <si>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</si>
  <si>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</si>
  <si>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</si>
  <si>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</si>
  <si>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</si>
  <si>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</si>
  <si>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</si>
  <si>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</si>
  <si>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</si>
  <si>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</si>
  <si>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</si>
  <si>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</si>
  <si>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</si>
  <si>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</si>
  <si>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</si>
  <si>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</si>
  <si>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</si>
  <si>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</si>
  <si>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</si>
  <si>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</si>
  <si>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</si>
  <si>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</si>
  <si>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</si>
  <si>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</si>
  <si>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</si>
  <si>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</si>
  <si>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</si>
  <si>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</si>
  <si>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</si>
  <si>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</si>
  <si>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</si>
  <si>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</si>
  <si>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</si>
  <si>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</si>
  <si>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</si>
  <si>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</si>
  <si>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</si>
  <si>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</si>
  <si>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</si>
  <si>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</si>
  <si>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</si>
  <si>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</si>
  <si>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</si>
  <si>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</si>
  <si>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</si>
  <si>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</si>
  <si>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</si>
  <si>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</si>
  <si>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</si>
  <si>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</si>
  <si>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</si>
  <si>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</si>
  <si>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</si>
  <si>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</si>
  <si>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</si>
  <si>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</si>
  <si>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</si>
  <si>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</si>
  <si>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</si>
  <si>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</si>
  <si>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</si>
  <si>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</si>
  <si>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</si>
  <si>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</si>
  <si>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</si>
  <si>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</si>
  <si>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</si>
  <si>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</si>
  <si>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</si>
  <si>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</si>
  <si>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</si>
  <si>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</si>
  <si>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</si>
  <si>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</si>
  <si>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</si>
  <si>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</si>
  <si>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</si>
  <si>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</si>
  <si>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</si>
  <si>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</si>
  <si>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</si>
  <si>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</si>
  <si>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</si>
  <si>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</si>
  <si>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</si>
  <si>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</si>
  <si>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</si>
  <si>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</si>
  <si>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</si>
  <si>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</si>
  <si>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</si>
  <si>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</si>
  <si>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</si>
  <si>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</si>
  <si>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</si>
  <si>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</si>
  <si>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</si>
  <si>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</si>
  <si>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</si>
  <si>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</si>
  <si>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</si>
  <si>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</si>
  <si>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</si>
  <si>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</si>
  <si>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</si>
  <si>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</si>
  <si>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</si>
  <si>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</si>
  <si>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</si>
  <si>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</si>
  <si>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</si>
  <si>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</si>
  <si>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</si>
  <si>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</si>
  <si>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</si>
  <si>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</si>
  <si>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</si>
  <si>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</si>
  <si>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</si>
  <si>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</si>
  <si>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</si>
  <si>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</si>
  <si>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</si>
  <si>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</si>
  <si>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</si>
  <si>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</si>
  <si>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</si>
  <si>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</si>
  <si>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</si>
  <si>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</si>
  <si>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</si>
  <si>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</si>
  <si>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</si>
  <si>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</si>
  <si>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</si>
  <si>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</si>
  <si>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</si>
  <si>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</si>
  <si>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</si>
  <si>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</si>
  <si>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</si>
  <si>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</si>
  <si>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</si>
  <si>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</si>
  <si>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</si>
  <si>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</si>
  <si>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</si>
  <si>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</si>
  <si>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</si>
  <si>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</si>
  <si>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</si>
  <si>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</si>
  <si>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</si>
  <si>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</si>
  <si>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</si>
  <si>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</si>
  <si>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</si>
  <si>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</si>
  <si>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</si>
  <si>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</si>
  <si>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</si>
  <si>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</si>
  <si>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</si>
  <si>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</si>
  <si>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</si>
  <si>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</si>
  <si>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</si>
  <si>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</si>
  <si>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</si>
  <si>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</si>
  <si>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</si>
  <si>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</si>
  <si>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</si>
  <si>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</si>
  <si>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</si>
  <si>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</si>
  <si>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</si>
  <si>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</si>
  <si>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</si>
  <si>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</si>
  <si>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</si>
  <si>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</si>
  <si>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</si>
  <si>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</si>
  <si>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</si>
  <si>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</si>
  <si>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</si>
  <si>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</si>
  <si>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</si>
  <si>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</si>
  <si>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</si>
  <si>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</si>
  <si>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</si>
  <si>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</si>
  <si>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</si>
  <si>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</si>
  <si>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</si>
  <si>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</si>
  <si>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</si>
  <si>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</si>
  <si>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</si>
  <si>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</si>
  <si>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</si>
  <si>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</si>
  <si>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</si>
  <si>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</si>
  <si>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</si>
  <si>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</si>
  <si>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</si>
  <si>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</si>
  <si>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</si>
  <si>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</si>
  <si>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</si>
  <si>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</si>
  <si>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</si>
  <si>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</si>
  <si>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</si>
  <si>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</si>
  <si>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</si>
  <si>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</si>
  <si>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</si>
  <si>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</si>
  <si>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</si>
  <si>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</si>
  <si>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</si>
  <si>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</si>
  <si>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</si>
  <si>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</si>
  <si>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</si>
  <si>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</si>
  <si>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</si>
  <si>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</si>
  <si>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</si>
  <si>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</si>
  <si>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</si>
  <si>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</si>
  <si>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</si>
  <si>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</si>
  <si>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</si>
  <si>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</si>
  <si>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</si>
  <si>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</si>
  <si>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</si>
  <si>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</si>
  <si>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</si>
  <si>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</si>
  <si>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</si>
  <si>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</si>
  <si>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</si>
  <si>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</si>
  <si>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</si>
  <si>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</si>
  <si>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</si>
  <si>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</si>
  <si>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</si>
  <si>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</si>
  <si>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</si>
  <si>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</si>
  <si>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</si>
  <si>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</si>
  <si>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</si>
  <si>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</si>
  <si>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</si>
  <si>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</si>
  <si>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</si>
  <si>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</si>
  <si>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</si>
  <si>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</si>
  <si>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</si>
  <si>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</si>
  <si>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</si>
  <si>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</si>
  <si>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</si>
  <si>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</si>
  <si>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</si>
  <si>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</si>
  <si>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</si>
  <si>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</si>
  <si>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</si>
  <si>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</si>
  <si>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</si>
  <si>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</si>
  <si>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</si>
  <si>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</si>
  <si>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</si>
  <si>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</si>
  <si>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</si>
  <si>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</si>
  <si>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</si>
  <si>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</si>
  <si>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</si>
  <si>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</si>
  <si>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</si>
  <si>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</si>
  <si>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</si>
  <si>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</si>
  <si>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</si>
  <si>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</si>
  <si>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</si>
  <si>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</si>
  <si>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</si>
  <si>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</si>
  <si>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</si>
  <si>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</si>
  <si>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</si>
  <si>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</si>
  <si>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</si>
  <si>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</si>
  <si>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</si>
  <si>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</si>
  <si>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</si>
  <si>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</si>
  <si>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</si>
  <si>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</si>
  <si>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</si>
  <si>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</si>
  <si>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</si>
  <si>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</si>
  <si>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</si>
  <si>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</si>
  <si>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</si>
  <si>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</si>
  <si>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</si>
  <si>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</si>
  <si>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</si>
  <si>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</si>
  <si>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</si>
  <si>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</si>
  <si>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</si>
  <si>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</si>
  <si>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</si>
  <si>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</si>
  <si>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</si>
  <si>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</si>
  <si>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</si>
  <si>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</si>
  <si>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</si>
  <si>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</si>
  <si>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</si>
  <si>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</si>
  <si>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</si>
  <si>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</si>
  <si>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</si>
  <si>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</si>
  <si>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</si>
  <si>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</si>
  <si>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</si>
  <si>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</si>
  <si>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</si>
  <si>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</si>
  <si>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</si>
  <si>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</si>
  <si>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</si>
  <si>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</si>
  <si>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</si>
  <si>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</si>
  <si>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</si>
  <si>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</si>
  <si>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</si>
  <si>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</si>
  <si>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</si>
  <si>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</si>
  <si>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</si>
  <si>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</si>
  <si>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</si>
  <si>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</si>
  <si>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</si>
  <si>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</si>
  <si>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</si>
  <si>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</si>
  <si>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</si>
  <si>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</si>
  <si>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</si>
  <si>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</si>
  <si>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</si>
  <si>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</si>
  <si>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</si>
  <si>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</si>
  <si>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</si>
  <si>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</si>
  <si>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</si>
  <si>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</si>
  <si>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</si>
  <si>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</si>
  <si>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</si>
  <si>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</si>
  <si>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</si>
  <si>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</si>
  <si>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</si>
  <si>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</si>
  <si>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</si>
  <si>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</si>
  <si>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</si>
  <si>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</si>
  <si>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</si>
  <si>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</si>
  <si>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</si>
  <si>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</si>
  <si>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</si>
  <si>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</si>
  <si>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</si>
  <si>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</si>
  <si>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</si>
  <si>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</si>
  <si>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</si>
  <si>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</si>
  <si>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</si>
  <si>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</si>
  <si>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</si>
  <si>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</si>
  <si>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</si>
  <si>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</si>
  <si>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</si>
  <si>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</si>
  <si>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</si>
  <si>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</si>
  <si>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</si>
  <si>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</si>
  <si>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</si>
  <si>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</si>
  <si>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</si>
  <si>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</si>
  <si>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</si>
  <si>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</si>
  <si>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</si>
  <si>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</si>
  <si>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</si>
  <si>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</si>
  <si>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</si>
  <si>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</si>
  <si>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</si>
  <si>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</si>
  <si>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</si>
  <si>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</si>
  <si>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</si>
  <si>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</si>
  <si>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</si>
  <si>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</si>
  <si>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</si>
  <si>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</si>
  <si>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</si>
  <si>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</si>
  <si>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</si>
  <si>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</si>
  <si>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</si>
  <si>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</si>
  <si>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</si>
  <si>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</si>
  <si>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</si>
  <si>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</si>
  <si>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</si>
  <si>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</si>
  <si>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</si>
  <si>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</si>
  <si>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</si>
  <si>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</si>
  <si>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</si>
  <si>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</si>
  <si>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</si>
  <si>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</si>
  <si>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</si>
  <si>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</si>
  <si>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</si>
  <si>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</si>
  <si>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</si>
  <si>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</si>
  <si>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</si>
  <si>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</si>
  <si>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</si>
  <si>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</si>
  <si>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</si>
  <si>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</si>
  <si>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</si>
  <si>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</si>
  <si>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</si>
  <si>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</si>
  <si>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</si>
  <si>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</si>
  <si>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</si>
  <si>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</si>
  <si>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</si>
  <si>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</si>
  <si>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</si>
  <si>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</si>
  <si>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</si>
  <si>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</si>
  <si>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</si>
  <si>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</si>
  <si>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</si>
  <si>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</si>
  <si>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</si>
  <si>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</si>
  <si>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</si>
  <si>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</si>
  <si>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</si>
  <si>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</si>
  <si>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</si>
  <si>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</si>
  <si>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</si>
  <si>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</si>
  <si>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</si>
  <si>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</si>
  <si>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</si>
  <si>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</si>
  <si>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</si>
  <si>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</si>
  <si>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</si>
  <si>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</si>
  <si>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</si>
  <si>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</si>
  <si>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</si>
  <si>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</si>
  <si>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</si>
  <si>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</si>
  <si>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</si>
  <si>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</si>
  <si>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</si>
  <si>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</si>
  <si>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</si>
  <si>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</si>
  <si>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</si>
  <si>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</si>
  <si>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</si>
  <si>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</si>
  <si>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</si>
  <si>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</si>
  <si>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</si>
  <si>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</si>
  <si>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</si>
  <si>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</si>
  <si>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</si>
  <si>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</si>
  <si>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</si>
  <si>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</si>
  <si>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</si>
  <si>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</si>
  <si>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</si>
  <si>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</si>
  <si>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</si>
  <si>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</si>
  <si>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</si>
  <si>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</si>
  <si>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</si>
  <si>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</si>
  <si>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</si>
  <si>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</si>
  <si>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</si>
  <si>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</si>
  <si>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</si>
  <si>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</si>
  <si>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</si>
  <si>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</si>
  <si>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</si>
  <si>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</si>
  <si>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</si>
  <si>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</si>
  <si>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</si>
  <si>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</si>
  <si>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</si>
  <si>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</si>
  <si>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</si>
  <si>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</si>
  <si>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</si>
  <si>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</si>
  <si>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</si>
  <si>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</si>
  <si>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</si>
  <si>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</si>
  <si>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</si>
  <si>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</si>
  <si>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</si>
  <si>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</si>
  <si>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</si>
  <si>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</si>
  <si>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</si>
  <si>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</si>
  <si>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</si>
  <si>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</si>
  <si>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</si>
  <si>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</si>
  <si>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</si>
  <si>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</si>
  <si>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</si>
  <si>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</si>
  <si>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</si>
  <si>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</si>
  <si>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</si>
  <si>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</si>
  <si>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</si>
  <si>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</si>
  <si>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</si>
  <si>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</si>
  <si>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</si>
  <si>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</si>
  <si>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</si>
  <si>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</si>
  <si>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</si>
  <si>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</si>
  <si>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</si>
  <si>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</si>
  <si>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</si>
  <si>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</si>
  <si>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</si>
  <si>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</si>
  <si>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</si>
  <si>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</si>
  <si>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</si>
  <si>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</si>
  <si>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</si>
  <si>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</si>
  <si>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</si>
  <si>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</si>
  <si>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</si>
  <si>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</si>
  <si>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</si>
  <si>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</si>
  <si>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</si>
  <si>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</si>
  <si>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</si>
  <si>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</si>
  <si>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</si>
  <si>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</si>
  <si>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</si>
  <si>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</si>
  <si>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</si>
  <si>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</si>
  <si>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</si>
  <si>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</si>
  <si>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</si>
  <si>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</si>
  <si>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</si>
  <si>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</si>
  <si>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</si>
  <si>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</si>
  <si>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</si>
  <si>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</si>
  <si>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</si>
  <si>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</si>
  <si>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</si>
  <si>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</si>
  <si>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</si>
  <si>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</si>
  <si>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</si>
  <si>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</si>
  <si>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</si>
  <si>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</si>
  <si>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</si>
  <si>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</si>
  <si>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</si>
  <si>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</si>
  <si>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</si>
  <si>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</si>
  <si>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</si>
  <si>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</si>
  <si>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</si>
  <si>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</si>
  <si>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</si>
  <si>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</si>
  <si>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</si>
  <si>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</si>
  <si>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</si>
  <si>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</si>
  <si>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</si>
  <si>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</si>
  <si>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</si>
  <si>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</si>
  <si>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</si>
  <si>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</si>
  <si>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</si>
  <si>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</si>
  <si>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</si>
  <si>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</si>
  <si>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</si>
  <si>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</si>
  <si>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</si>
  <si>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</si>
  <si>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</si>
  <si>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</si>
  <si>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</si>
  <si>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</si>
  <si>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</si>
  <si>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</si>
  <si>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</si>
  <si>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</si>
  <si>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</si>
  <si>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</si>
  <si>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</si>
  <si>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</si>
  <si>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</si>
  <si>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</si>
  <si>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</si>
  <si>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</si>
  <si>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</si>
  <si>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</si>
  <si>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</si>
  <si>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</si>
  <si>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</si>
  <si>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</si>
  <si>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</si>
  <si>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</si>
  <si>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</si>
  <si>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</si>
  <si>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</si>
  <si>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</si>
  <si>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</si>
  <si>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</si>
  <si>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</si>
  <si>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</si>
  <si>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</si>
  <si>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</si>
  <si>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</si>
  <si>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</si>
  <si>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</si>
  <si>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</si>
  <si>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</si>
  <si>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</si>
  <si>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</si>
  <si>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</si>
  <si>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</si>
  <si>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</si>
  <si>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</si>
  <si>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</si>
  <si>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</si>
  <si>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</si>
  <si>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</si>
  <si>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</si>
  <si>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</si>
  <si>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</si>
  <si>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</si>
  <si>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</si>
  <si>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</si>
  <si>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</si>
  <si>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</si>
  <si>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</si>
  <si>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</si>
  <si>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</si>
  <si>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</si>
  <si>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</si>
  <si>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</si>
  <si>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</si>
  <si>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</si>
  <si>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</si>
  <si>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</si>
  <si>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</si>
  <si>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</si>
  <si>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</si>
  <si>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</si>
  <si>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</si>
  <si>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</si>
  <si>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</si>
  <si>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</si>
  <si>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</si>
  <si>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</si>
  <si>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</si>
  <si>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</si>
  <si>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</si>
  <si>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</si>
  <si>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</si>
  <si>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</si>
  <si>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</si>
  <si>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</si>
  <si>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</si>
  <si>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</si>
  <si>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</si>
  <si>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</si>
  <si>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</si>
  <si>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</si>
  <si>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</si>
  <si>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</si>
  <si>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</si>
  <si>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</si>
  <si>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</si>
  <si>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</si>
  <si>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</si>
  <si>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</si>
  <si>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</si>
  <si>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</si>
  <si>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</si>
  <si>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</si>
  <si>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</si>
  <si>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</si>
  <si>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</si>
  <si>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</si>
  <si>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</si>
  <si>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</si>
  <si>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</si>
  <si>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</si>
  <si>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</si>
  <si>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</si>
  <si>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</si>
  <si>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</si>
  <si>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</si>
  <si>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</si>
  <si>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</si>
  <si>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</si>
  <si>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</si>
  <si>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</si>
  <si>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</si>
  <si>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</si>
  <si>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</si>
  <si>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</si>
  <si>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</si>
  <si>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</si>
  <si>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</si>
  <si>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</si>
  <si>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</si>
  <si>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</si>
  <si>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</si>
  <si>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</si>
  <si>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</si>
  <si>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</si>
  <si>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</si>
  <si>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</si>
  <si>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</si>
  <si>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</si>
  <si>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</si>
  <si>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</si>
  <si>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</si>
  <si>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</si>
  <si>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</si>
  <si>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</si>
  <si>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</si>
  <si>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</si>
  <si>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</si>
  <si>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</si>
  <si>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</si>
  <si>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</si>
  <si>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</si>
  <si>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</si>
  <si>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</si>
  <si>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</si>
  <si>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</si>
  <si>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</si>
  <si>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</si>
  <si>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</si>
  <si>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</si>
  <si>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</si>
  <si>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</si>
  <si>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</si>
  <si>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</si>
  <si>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</si>
  <si>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</si>
  <si>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</si>
  <si>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</si>
  <si>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</si>
  <si>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</si>
  <si>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</si>
  <si>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</si>
  <si>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</si>
  <si>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</si>
  <si>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</si>
  <si>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</si>
  <si>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</si>
  <si>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</si>
  <si>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</si>
  <si>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</si>
  <si>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</si>
  <si>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</si>
  <si>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</si>
  <si>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</si>
  <si>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</si>
  <si>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</si>
  <si>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</si>
  <si>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</si>
  <si>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</si>
  <si>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</si>
  <si>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</si>
  <si>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</si>
  <si>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</si>
  <si>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</si>
  <si>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</si>
  <si>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</si>
  <si>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</si>
  <si>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</si>
  <si>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</si>
  <si>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</si>
  <si>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</si>
  <si>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</si>
  <si>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</si>
  <si>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</si>
  <si>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</si>
  <si>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</si>
  <si>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</si>
  <si>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</si>
  <si>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</si>
  <si>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</si>
  <si>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</si>
  <si>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</si>
  <si>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</si>
  <si>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</si>
  <si>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</si>
  <si>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</si>
  <si>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</si>
  <si>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</si>
  <si>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</si>
  <si>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</si>
  <si>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</si>
  <si>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</si>
  <si>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</si>
  <si>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</si>
  <si>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</si>
  <si>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</si>
  <si>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</si>
  <si>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</si>
  <si>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</si>
  <si>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</si>
  <si>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</si>
  <si>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</si>
  <si>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</si>
  <si>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</si>
  <si>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</si>
  <si>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</si>
  <si>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</si>
  <si>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</si>
  <si>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</si>
  <si>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</si>
  <si>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</si>
  <si>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</si>
  <si>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</si>
  <si>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</si>
  <si>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</si>
  <si>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</si>
  <si>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</si>
  <si>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</si>
  <si>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</si>
  <si>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</si>
  <si>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</si>
  <si>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</si>
  <si>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</si>
  <si>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</si>
  <si>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</si>
  <si>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</si>
  <si>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</si>
  <si>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</si>
  <si>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</si>
  <si>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</si>
  <si>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</si>
  <si>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</si>
  <si>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</si>
  <si>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</si>
  <si>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</si>
  <si>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</si>
  <si>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</si>
  <si>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</si>
  <si>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</si>
  <si>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</si>
  <si>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</si>
  <si>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</si>
  <si>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</si>
  <si>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</si>
  <si>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</si>
  <si>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</si>
  <si>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</si>
  <si>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</si>
  <si>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</si>
  <si>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</si>
  <si>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</si>
  <si>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</si>
  <si>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</si>
  <si>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</si>
  <si>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</si>
  <si>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</si>
  <si>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</si>
  <si>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</si>
  <si>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</si>
  <si>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</si>
  <si>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</si>
  <si>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</si>
  <si>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</si>
  <si>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</si>
  <si>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</si>
  <si>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</si>
  <si>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</si>
  <si>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</si>
  <si>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</si>
  <si>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</si>
  <si>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</si>
  <si>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</si>
  <si>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</si>
  <si>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</si>
  <si>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</si>
  <si>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</si>
  <si>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</si>
  <si>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</si>
  <si>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</si>
  <si>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</si>
  <si>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</si>
  <si>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</si>
  <si>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</si>
  <si>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</si>
  <si>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</si>
  <si>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</si>
  <si>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</si>
  <si>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</si>
  <si>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</si>
  <si>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</si>
  <si>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</si>
  <si>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</si>
  <si>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</si>
  <si>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</si>
  <si>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</si>
  <si>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</si>
  <si>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</si>
  <si>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</si>
  <si>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</si>
  <si>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</si>
  <si>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</si>
  <si>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</si>
  <si>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</si>
  <si>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</si>
  <si>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</si>
  <si>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</si>
  <si>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</si>
  <si>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</si>
  <si>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</si>
  <si>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</si>
  <si>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</si>
  <si>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</si>
  <si>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</si>
  <si>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</si>
  <si>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</si>
  <si>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</si>
  <si>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</si>
  <si>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</si>
  <si>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</si>
  <si>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</si>
  <si>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</si>
  <si>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</si>
  <si>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</si>
  <si>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</si>
  <si>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</si>
  <si>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</si>
  <si>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</si>
  <si>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</si>
  <si>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</si>
  <si>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</si>
  <si>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</si>
  <si>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</si>
  <si>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</si>
  <si>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</si>
  <si>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</si>
  <si>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</si>
  <si>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</si>
  <si>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</si>
  <si>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</si>
  <si>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</si>
  <si>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</si>
  <si>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</si>
  <si>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</si>
  <si>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</si>
  <si>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</si>
  <si>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</si>
  <si>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</si>
  <si>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</si>
  <si>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</si>
  <si>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</si>
  <si>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</si>
  <si>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</si>
  <si>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</si>
  <si>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</si>
  <si>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</si>
  <si>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</si>
  <si>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</si>
  <si>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</si>
  <si>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</si>
  <si>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</si>
  <si>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</si>
  <si>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</si>
  <si>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</si>
  <si>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</si>
  <si>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</si>
  <si>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</si>
  <si>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</si>
  <si>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</si>
  <si>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</si>
  <si>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</si>
  <si>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</si>
  <si>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</si>
  <si>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</si>
  <si>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</si>
  <si>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</si>
  <si>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</si>
  <si>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</si>
  <si>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</si>
  <si>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</si>
  <si>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</si>
  <si>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</si>
  <si>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</si>
  <si>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</si>
  <si>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</si>
  <si>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</si>
  <si>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</si>
  <si>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</si>
  <si>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</si>
  <si>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</si>
  <si>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</si>
  <si>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</si>
  <si>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</si>
  <si>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</si>
  <si>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</si>
  <si>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</si>
  <si>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</si>
  <si>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</si>
  <si>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</si>
  <si>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</si>
  <si>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</si>
  <si>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</si>
  <si>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</si>
  <si>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</si>
  <si>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</si>
  <si>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</si>
  <si>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</si>
  <si>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</si>
  <si>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</si>
  <si>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</si>
  <si>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</si>
  <si>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</si>
  <si>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</si>
  <si>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</si>
  <si>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</si>
  <si>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</si>
  <si>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</si>
  <si>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</si>
  <si>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</si>
  <si>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</si>
  <si>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</si>
  <si>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</si>
  <si>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</si>
  <si>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</si>
  <si>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</si>
  <si>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</si>
  <si>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</si>
  <si>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</si>
  <si>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</si>
  <si>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</si>
  <si>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</si>
  <si>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</si>
  <si>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</si>
  <si>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</si>
  <si>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</si>
  <si>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</si>
  <si>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</si>
  <si>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</si>
  <si>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</si>
  <si>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</si>
  <si>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</si>
  <si>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</si>
  <si>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</si>
  <si>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</si>
  <si>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</si>
  <si>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</si>
  <si>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</si>
  <si>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</si>
  <si>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</si>
  <si>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</si>
  <si>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</si>
  <si>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</si>
  <si>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</si>
  <si>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</si>
  <si>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</si>
  <si>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</si>
  <si>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</si>
  <si>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</si>
  <si>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</si>
  <si>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</si>
  <si>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</si>
  <si>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</si>
  <si>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</si>
  <si>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</si>
  <si>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</si>
  <si>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</si>
  <si>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</si>
  <si>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</si>
  <si>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</si>
  <si>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</si>
  <si>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</si>
  <si>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</si>
  <si>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</si>
  <si>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</si>
  <si>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</si>
  <si>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</si>
  <si>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</si>
  <si>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</si>
  <si>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</si>
  <si>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</si>
  <si>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</si>
  <si>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</si>
  <si>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</si>
  <si>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</si>
  <si>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</si>
  <si>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</si>
  <si>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</si>
  <si>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</si>
  <si>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</si>
  <si>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</si>
  <si>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</si>
  <si>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</si>
  <si>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</si>
  <si>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</si>
  <si>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</si>
  <si>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</si>
  <si>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</si>
  <si>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</si>
  <si>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</si>
  <si>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</si>
  <si>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</si>
  <si>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</si>
  <si>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</si>
  <si>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</si>
  <si>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</si>
  <si>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</si>
  <si>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</si>
  <si>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</si>
  <si>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</si>
  <si>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</si>
  <si>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</si>
  <si>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</si>
  <si>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</si>
  <si>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</si>
  <si>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</si>
  <si>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</si>
  <si>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</si>
  <si>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</si>
  <si>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</si>
  <si>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</si>
  <si>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</si>
  <si>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</si>
  <si>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</si>
  <si>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</si>
  <si>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</si>
  <si>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</si>
  <si>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</si>
  <si>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</si>
  <si>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</si>
  <si>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</si>
  <si>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</si>
  <si>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</si>
  <si>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</si>
  <si>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</si>
  <si>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</si>
  <si>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</si>
  <si>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</si>
  <si>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</si>
  <si>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</si>
  <si>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</si>
  <si>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</si>
  <si>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</si>
  <si>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</si>
  <si>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</si>
  <si>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</si>
  <si>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</si>
  <si>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</si>
  <si>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</si>
  <si>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</si>
  <si>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</si>
  <si>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</si>
  <si>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</si>
  <si>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</si>
  <si>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</si>
  <si>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</si>
  <si>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</si>
  <si>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</si>
  <si>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</si>
  <si>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</si>
  <si>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</si>
  <si>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</si>
  <si>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</si>
  <si>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</si>
  <si>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</si>
  <si>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</si>
  <si>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</si>
  <si>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</si>
  <si>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</si>
  <si>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</si>
  <si>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</si>
  <si>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</si>
  <si>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</si>
  <si>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</si>
  <si>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</si>
  <si>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</si>
  <si>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</si>
  <si>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</si>
  <si>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</si>
  <si>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</si>
  <si>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</si>
  <si>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</si>
  <si>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</si>
  <si>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</si>
  <si>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</si>
  <si>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</si>
  <si>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</si>
  <si>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</si>
  <si>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</si>
  <si>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</si>
  <si>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</si>
  <si>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</si>
  <si>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</si>
  <si>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</si>
  <si>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</si>
  <si>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</si>
  <si>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</si>
  <si>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</si>
  <si>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</si>
  <si>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</si>
  <si>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</si>
  <si>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</si>
  <si>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</si>
  <si>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</si>
  <si>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</si>
  <si>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</si>
  <si>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</si>
  <si>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</si>
  <si>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</si>
  <si>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</si>
  <si>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</si>
  <si>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</si>
  <si>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</si>
  <si>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</si>
  <si>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</si>
  <si>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</si>
  <si>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</si>
  <si>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</si>
  <si>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</si>
  <si>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</si>
  <si>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</si>
  <si>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</si>
  <si>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</si>
  <si>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</si>
  <si>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</si>
  <si>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</si>
  <si>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</si>
  <si>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</si>
  <si>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</si>
  <si>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</si>
  <si>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</si>
  <si>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</si>
  <si>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</si>
  <si>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</si>
  <si>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</si>
  <si>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</si>
  <si>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</si>
  <si>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</si>
  <si>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</si>
  <si>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</si>
  <si>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</si>
  <si>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</si>
  <si>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</si>
  <si>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</si>
  <si>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</si>
  <si>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</si>
  <si>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</si>
  <si>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</si>
  <si>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</si>
  <si>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</si>
  <si>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</si>
  <si>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</si>
  <si>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</si>
  <si>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</si>
  <si>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</si>
  <si>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</si>
  <si>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</si>
  <si>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</si>
  <si>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</si>
  <si>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</si>
  <si>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</si>
  <si>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</si>
  <si>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</si>
  <si>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</si>
  <si>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</si>
  <si>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</si>
  <si>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</si>
  <si>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</si>
  <si>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</si>
  <si>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</si>
  <si>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</si>
  <si>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</si>
  <si>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</si>
  <si>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</si>
  <si>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</si>
  <si>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</si>
  <si>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</si>
  <si>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</si>
  <si>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</si>
  <si>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</si>
  <si>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</si>
  <si>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</si>
  <si>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</si>
  <si>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</si>
  <si>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</si>
  <si>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</si>
  <si>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</si>
  <si>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</si>
  <si>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</si>
  <si>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</si>
  <si>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</si>
  <si>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</si>
  <si>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</si>
  <si>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</si>
  <si>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</si>
  <si>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</si>
  <si>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</si>
  <si>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</si>
  <si>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</si>
  <si>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</si>
  <si>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</si>
  <si>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</si>
  <si>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</si>
  <si>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</si>
  <si>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</si>
  <si>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</si>
  <si>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</si>
  <si>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</si>
  <si>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</si>
  <si>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</si>
  <si>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</si>
  <si>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</si>
  <si>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</si>
  <si>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</si>
  <si>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</si>
  <si>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</si>
  <si>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</si>
  <si>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</si>
  <si>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</si>
  <si>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</si>
  <si>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</si>
  <si>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</si>
  <si>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</si>
  <si>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</si>
  <si>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</si>
  <si>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</si>
  <si>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</si>
  <si>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</si>
  <si>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</si>
  <si>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</si>
  <si>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</si>
  <si>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</si>
  <si>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</si>
  <si>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</si>
  <si>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</si>
  <si>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</si>
  <si>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</si>
  <si>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</si>
  <si>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</si>
  <si>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</si>
  <si>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</si>
  <si>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</si>
  <si>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</si>
  <si>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</si>
  <si>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</si>
  <si>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</si>
  <si>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</si>
  <si>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</si>
  <si>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</si>
  <si>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</si>
  <si>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</si>
  <si>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</si>
  <si>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</si>
  <si>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</si>
  <si>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</si>
  <si>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</si>
  <si>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</si>
  <si>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</si>
  <si>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</si>
  <si>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</si>
  <si>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</si>
  <si>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</si>
  <si>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</si>
  <si>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</si>
  <si>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</si>
  <si>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</si>
  <si>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</si>
  <si>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</si>
  <si>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</si>
  <si>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</si>
  <si>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</si>
  <si>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</si>
  <si>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</si>
  <si>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</si>
  <si>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</si>
  <si>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</si>
  <si>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</si>
  <si>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</si>
  <si>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</si>
  <si>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</si>
  <si>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</si>
  <si>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</si>
  <si>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</si>
  <si>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</si>
  <si>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</si>
  <si>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</si>
  <si>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</si>
  <si>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</si>
  <si>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</si>
  <si>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</si>
  <si>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</si>
  <si>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</si>
  <si>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</si>
  <si>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</si>
  <si>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</si>
  <si>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</si>
  <si>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</si>
  <si>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</si>
  <si>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</si>
  <si>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</si>
  <si>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</si>
  <si>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</si>
  <si>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</si>
  <si>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</si>
  <si>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</si>
  <si>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</si>
  <si>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</si>
  <si>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</si>
  <si>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</si>
  <si>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</si>
  <si>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</si>
  <si>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</si>
  <si>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</si>
  <si>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</si>
  <si>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</si>
  <si>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</si>
  <si>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</si>
  <si>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</si>
  <si>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</si>
  <si>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</si>
  <si>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</si>
  <si>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</si>
  <si>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</si>
  <si>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</si>
  <si>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</si>
  <si>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</si>
  <si>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</si>
  <si>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</si>
  <si>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</si>
  <si>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</si>
  <si>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</si>
  <si>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</si>
  <si>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</si>
  <si>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</si>
  <si>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</si>
  <si>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</si>
  <si>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</si>
  <si>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</si>
  <si>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</si>
  <si>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</si>
  <si>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</si>
  <si>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</si>
  <si>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</si>
  <si>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</si>
  <si>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</si>
  <si>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</si>
  <si>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</si>
  <si>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</si>
  <si>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</si>
  <si>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</si>
  <si>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</si>
  <si>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</si>
  <si>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</si>
  <si>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</si>
  <si>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</si>
  <si>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</si>
  <si>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</si>
  <si>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</si>
  <si>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</si>
  <si>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</si>
  <si>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</si>
  <si>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</si>
  <si>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</si>
  <si>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</si>
  <si>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</si>
  <si>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</si>
  <si>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</si>
  <si>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</si>
  <si>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</si>
  <si>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</si>
  <si>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</si>
  <si>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</si>
  <si>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</si>
  <si>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</si>
  <si>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</si>
  <si>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</si>
  <si>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</si>
  <si>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</si>
  <si>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</si>
  <si>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</si>
  <si>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</si>
  <si>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</si>
  <si>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</si>
  <si>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</si>
  <si>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</si>
  <si>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</si>
  <si>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</si>
  <si>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</si>
  <si>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</si>
  <si>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</si>
  <si>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</si>
  <si>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</si>
  <si>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</si>
  <si>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</si>
  <si>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</si>
  <si>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</si>
  <si>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</si>
  <si>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</si>
  <si>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</si>
  <si>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</si>
  <si>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</si>
  <si>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</si>
  <si>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</si>
  <si>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</si>
  <si>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</si>
  <si>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</si>
  <si>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</si>
  <si>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</si>
  <si>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</si>
  <si>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</si>
  <si>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</si>
  <si>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</si>
  <si>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</si>
  <si>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</si>
  <si>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</si>
  <si>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</si>
  <si>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</si>
  <si>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</si>
  <si>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</si>
  <si>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</si>
  <si>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</si>
  <si>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</si>
  <si>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</si>
  <si>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</si>
  <si>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</si>
  <si>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</si>
  <si>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</si>
  <si>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</si>
  <si>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</si>
  <si>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</si>
  <si>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</si>
  <si>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</si>
  <si>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</si>
  <si>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</si>
  <si>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</si>
  <si>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</si>
  <si>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</si>
  <si>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</si>
  <si>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</si>
  <si>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</si>
  <si>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</si>
  <si>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</si>
  <si>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</si>
  <si>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</si>
  <si>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</si>
  <si>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</si>
  <si>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</si>
  <si>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</si>
  <si>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</si>
  <si>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</si>
  <si>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</si>
  <si>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</si>
  <si>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</si>
  <si>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</si>
  <si>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</si>
  <si>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</si>
  <si>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</si>
  <si>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</si>
  <si>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</si>
  <si>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</si>
  <si>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</si>
  <si>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</si>
  <si>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</si>
  <si>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</si>
  <si>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</si>
  <si>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</si>
  <si>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</si>
  <si>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</si>
  <si>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</si>
  <si>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</si>
  <si>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</si>
  <si>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</si>
  <si>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</si>
  <si>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</si>
  <si>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</si>
  <si>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</si>
  <si>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</si>
  <si>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</si>
  <si>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</si>
  <si>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</si>
  <si>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</si>
  <si>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</si>
  <si>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</si>
  <si>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</si>
  <si>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</si>
  <si>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</si>
  <si>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</si>
  <si>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</si>
  <si>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</si>
  <si>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</si>
  <si>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</si>
  <si>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</si>
  <si>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</si>
  <si>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</si>
  <si>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</si>
  <si>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</si>
  <si>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</si>
  <si>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</si>
  <si>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</si>
  <si>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</si>
  <si>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</si>
  <si>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</si>
  <si>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</si>
  <si>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</si>
  <si>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</si>
  <si>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</si>
  <si>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</si>
  <si>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</si>
  <si>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</si>
  <si>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</si>
  <si>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</si>
  <si>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</si>
  <si>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</si>
  <si>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</si>
  <si>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</si>
  <si>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</si>
  <si>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</si>
  <si>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</si>
  <si>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</si>
  <si>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</si>
  <si>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</si>
  <si>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</si>
  <si>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</si>
  <si>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</si>
  <si>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</si>
  <si>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</si>
  <si>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</si>
  <si>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</si>
  <si>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</si>
  <si>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</si>
  <si>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</si>
  <si>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</si>
  <si>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</si>
  <si>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</si>
  <si>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</si>
  <si>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</si>
  <si>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</si>
  <si>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</si>
  <si>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</si>
  <si>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</si>
  <si>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</si>
  <si>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</si>
  <si>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</si>
  <si>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</si>
  <si>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</si>
  <si>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</si>
  <si>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</si>
  <si>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</si>
  <si>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</si>
  <si>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</si>
  <si>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</si>
  <si>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</si>
  <si>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</si>
  <si>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</si>
  <si>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</si>
  <si>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</si>
  <si>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</si>
  <si>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</si>
  <si>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</si>
  <si>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</si>
  <si>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</si>
  <si>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</si>
  <si>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</si>
  <si>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</si>
  <si>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</si>
  <si>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</si>
  <si>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</si>
  <si>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</si>
  <si>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</si>
  <si>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</si>
  <si>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</si>
  <si>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</si>
  <si>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</si>
  <si>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</si>
  <si>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</si>
  <si>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</si>
  <si>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</si>
  <si>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</si>
  <si>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</si>
  <si>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</si>
  <si>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</si>
  <si>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</si>
  <si>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</si>
  <si>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</si>
  <si>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</si>
  <si>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</si>
  <si>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</si>
  <si>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</si>
  <si>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</si>
  <si>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</si>
  <si>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</si>
  <si>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</si>
  <si>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</si>
  <si>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</si>
  <si>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</si>
  <si>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</si>
  <si>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</si>
  <si>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</si>
  <si>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</si>
  <si>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</si>
  <si>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</si>
  <si>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</si>
  <si>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</si>
  <si>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</si>
  <si>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</si>
  <si>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</si>
  <si>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</si>
  <si>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</si>
  <si>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</si>
  <si>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</si>
  <si>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</si>
  <si>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</si>
  <si>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</si>
  <si>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</si>
  <si>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</si>
  <si>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</si>
  <si>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</si>
  <si>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</si>
  <si>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</si>
  <si>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</si>
  <si>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</si>
  <si>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</si>
  <si>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</si>
  <si>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</si>
  <si>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</si>
  <si>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</si>
  <si>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</si>
  <si>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</si>
  <si>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</si>
  <si>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</si>
  <si>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</si>
  <si>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</si>
  <si>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</si>
  <si>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</si>
  <si>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</si>
  <si>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</si>
  <si>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</si>
  <si>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</si>
  <si>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</si>
  <si>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</si>
  <si>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</si>
  <si>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</si>
  <si>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</si>
  <si>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</si>
  <si>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</si>
  <si>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</si>
  <si>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</si>
  <si>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</si>
  <si>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</si>
  <si>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</si>
  <si>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</si>
  <si>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</si>
  <si>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</si>
  <si>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</si>
  <si>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</si>
  <si>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</si>
  <si>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</si>
  <si>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</si>
  <si>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</si>
  <si>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</si>
  <si>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</si>
  <si>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</si>
  <si>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</si>
  <si>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</si>
  <si>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</si>
  <si>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</si>
  <si>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</si>
  <si>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</si>
  <si>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</si>
  <si>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</si>
  <si>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</si>
  <si>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</si>
  <si>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</si>
  <si>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</si>
  <si>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</si>
  <si>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</si>
  <si>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</si>
  <si>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</si>
  <si>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</si>
  <si>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</si>
  <si>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</si>
  <si>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</si>
  <si>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</si>
  <si>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</si>
  <si>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</si>
  <si>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</si>
  <si>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</si>
  <si>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</si>
  <si>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</si>
  <si>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</si>
  <si>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</si>
  <si>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</si>
  <si>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</si>
  <si>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</si>
  <si>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</si>
  <si>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</si>
  <si>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</si>
  <si>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</si>
  <si>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</si>
  <si>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</si>
  <si>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</si>
  <si>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</si>
  <si>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</si>
  <si>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</si>
  <si>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</si>
  <si>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</si>
  <si>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</si>
  <si>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</si>
  <si>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</si>
  <si>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</si>
  <si>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</si>
  <si>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</si>
  <si>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</si>
  <si>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</si>
  <si>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</si>
  <si>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</si>
  <si>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</si>
  <si>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</si>
  <si>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</si>
  <si>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</si>
  <si>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</si>
  <si>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</si>
  <si>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</si>
  <si>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</si>
  <si>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</si>
  <si>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</si>
  <si>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</si>
  <si>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</si>
  <si>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</si>
  <si>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</si>
  <si>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</si>
  <si>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</si>
  <si>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</si>
  <si>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</si>
  <si>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</si>
  <si>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</si>
  <si>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</si>
  <si>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</si>
  <si>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</si>
  <si>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</si>
  <si>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</si>
  <si>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</si>
  <si>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</si>
  <si>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</si>
  <si>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</si>
  <si>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</si>
  <si>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</si>
  <si>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</si>
  <si>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</si>
  <si>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</si>
  <si>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</si>
  <si>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</si>
  <si>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</si>
  <si>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</si>
  <si>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</si>
  <si>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</si>
  <si>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</si>
  <si>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</si>
  <si>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</si>
  <si>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</si>
  <si>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</si>
  <si>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</si>
  <si>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</si>
  <si>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</si>
  <si>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</si>
  <si>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</si>
  <si>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</si>
  <si>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</si>
  <si>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</si>
  <si>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</si>
  <si>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</si>
  <si>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</si>
  <si>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</si>
  <si>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</si>
  <si>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</si>
  <si>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</si>
  <si>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</si>
  <si>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</si>
  <si>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</si>
  <si>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</si>
  <si>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</si>
  <si>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</si>
  <si>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</si>
  <si>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</si>
  <si>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</si>
  <si>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</si>
  <si>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</si>
  <si>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</si>
  <si>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</si>
  <si>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</si>
  <si>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</si>
  <si>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</si>
  <si>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</si>
  <si>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</si>
  <si>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</si>
  <si>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</si>
  <si>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</si>
  <si>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</si>
  <si>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</si>
  <si>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</si>
  <si>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</si>
  <si>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</si>
  <si>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</si>
  <si>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</si>
  <si>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</si>
  <si>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</si>
  <si>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</si>
  <si>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</si>
  <si>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</si>
  <si>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</si>
  <si>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</si>
  <si>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</si>
  <si>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</si>
  <si>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</si>
  <si>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</si>
  <si>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</si>
  <si>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</si>
  <si>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</si>
  <si>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</si>
  <si>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</si>
  <si>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</si>
  <si>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</si>
  <si>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</si>
  <si>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</si>
  <si>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</si>
  <si>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</si>
  <si>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</si>
  <si>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</si>
  <si>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</si>
  <si>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</si>
  <si>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</si>
  <si>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</si>
  <si>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</si>
  <si>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</si>
  <si>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</si>
  <si>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</si>
  <si>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</si>
  <si>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</si>
  <si>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</si>
  <si>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</si>
  <si>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</si>
  <si>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</si>
  <si>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</si>
  <si>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</si>
  <si>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</si>
  <si>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</si>
  <si>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</si>
  <si>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</si>
  <si>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</si>
  <si>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</si>
  <si>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</si>
  <si>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</si>
  <si>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</si>
  <si>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</si>
  <si>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</si>
  <si>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</si>
  <si>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</si>
  <si>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</si>
  <si>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</si>
  <si>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</si>
  <si>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</si>
  <si>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</si>
  <si>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</si>
  <si>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</si>
  <si>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</si>
  <si>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</si>
  <si>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</si>
  <si>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</si>
  <si>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</si>
  <si>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</si>
  <si>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</si>
  <si>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</si>
  <si>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</si>
  <si>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</si>
  <si>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</si>
  <si>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</si>
  <si>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</si>
  <si>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</si>
  <si>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</si>
  <si>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</si>
  <si>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</si>
  <si>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</si>
  <si>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</si>
  <si>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</si>
  <si>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</si>
  <si>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</si>
  <si>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</si>
  <si>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</si>
  <si>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</si>
  <si>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</si>
  <si>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</si>
  <si>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</si>
  <si>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</si>
  <si>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</si>
  <si>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</si>
  <si>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</si>
  <si>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</si>
  <si>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</si>
  <si>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</si>
  <si>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</si>
  <si>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</si>
  <si>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</si>
  <si>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</si>
  <si>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</si>
  <si>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</si>
  <si>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</si>
  <si>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</si>
  <si>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</si>
  <si>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</si>
  <si>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</si>
  <si>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</si>
  <si>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</si>
  <si>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</si>
  <si>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</si>
  <si>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</si>
  <si>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</si>
  <si>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</si>
  <si>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</si>
  <si>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</si>
  <si>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</si>
  <si>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</si>
  <si>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</si>
  <si>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</si>
  <si>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</si>
  <si>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</si>
  <si>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</si>
  <si>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</si>
  <si>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</si>
  <si>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</si>
  <si>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</si>
  <si>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</si>
  <si>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</si>
  <si>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</si>
  <si>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</si>
  <si>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</si>
  <si>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</si>
  <si>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</si>
  <si>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</si>
  <si>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</si>
  <si>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</si>
  <si>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</si>
  <si>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</si>
  <si>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</si>
  <si>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</si>
  <si>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</si>
  <si>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</si>
  <si>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</si>
  <si>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</si>
  <si>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</si>
  <si>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</si>
  <si>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</si>
  <si>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</si>
  <si>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</si>
  <si>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</si>
  <si>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</si>
  <si>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</si>
  <si>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</si>
  <si>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</si>
  <si>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</si>
  <si>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</si>
  <si>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</si>
  <si>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</si>
  <si>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</si>
  <si>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</si>
  <si>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</si>
  <si>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</si>
  <si>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</si>
  <si>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</si>
  <si>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</si>
  <si>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</si>
  <si>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</si>
  <si>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</si>
  <si>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</si>
  <si>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</si>
  <si>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</si>
  <si>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</si>
  <si>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</si>
  <si>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</si>
  <si>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</si>
  <si>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</si>
  <si>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</si>
  <si>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</si>
  <si>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</si>
  <si>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</si>
  <si>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</si>
  <si>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</si>
  <si>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</si>
  <si>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</si>
  <si>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</si>
  <si>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</si>
  <si>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</si>
  <si>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</si>
  <si>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</si>
  <si>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</si>
  <si>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</si>
  <si>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</si>
  <si>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</si>
  <si>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</si>
  <si>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</si>
  <si>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</si>
  <si>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</si>
  <si>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</si>
  <si>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</si>
  <si>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</si>
  <si>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</si>
  <si>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</si>
  <si>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</si>
  <si>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</si>
  <si>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</si>
  <si>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</si>
  <si>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</si>
  <si>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</si>
  <si>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</si>
  <si>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</si>
  <si>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</si>
  <si>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</si>
  <si>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</si>
  <si>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</si>
  <si>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</si>
  <si>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</si>
  <si>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</si>
  <si>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</si>
  <si>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</si>
  <si>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</si>
  <si>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</si>
  <si>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</si>
  <si>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</si>
  <si>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</si>
  <si>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</si>
  <si>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</si>
  <si>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</si>
  <si>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</si>
  <si>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</si>
  <si>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</si>
  <si>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</si>
  <si>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</si>
  <si>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</si>
  <si>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</si>
  <si>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</si>
  <si>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</si>
  <si>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</si>
  <si>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</si>
  <si>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</si>
  <si>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</si>
  <si>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</si>
  <si>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</si>
  <si>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</si>
  <si>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</si>
  <si>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</si>
  <si>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</si>
  <si>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</si>
  <si>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</si>
  <si>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</si>
  <si>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</si>
  <si>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</si>
  <si>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</si>
  <si>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</si>
  <si>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</si>
  <si>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</si>
  <si>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</si>
  <si>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</si>
  <si>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</si>
  <si>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</si>
  <si>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</si>
  <si>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</si>
  <si>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</si>
  <si>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</si>
  <si>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</si>
  <si>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</si>
  <si>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</si>
  <si>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</si>
  <si>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</si>
  <si>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</si>
  <si>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</si>
  <si>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</si>
  <si>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</si>
  <si>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</si>
  <si>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</si>
  <si>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</si>
  <si>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</si>
  <si>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</si>
  <si>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</si>
  <si>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</si>
  <si>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</si>
  <si>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</si>
  <si>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</si>
  <si>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</si>
  <si>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</si>
  <si>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</si>
  <si>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</si>
  <si>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</si>
  <si>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</si>
  <si>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</si>
  <si>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</si>
  <si>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</si>
  <si>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</si>
  <si>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</si>
  <si>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</si>
  <si>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</si>
  <si>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</si>
  <si>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</si>
  <si>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</si>
  <si>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</si>
  <si>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</si>
  <si>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</si>
  <si>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</si>
  <si>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</si>
  <si>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</si>
  <si>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</si>
  <si>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</si>
  <si>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</si>
  <si>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</si>
  <si>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</si>
  <si>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</si>
  <si>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</si>
  <si>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</si>
  <si>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</si>
  <si>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</si>
  <si>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</si>
  <si>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</si>
  <si>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</si>
  <si>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</si>
  <si>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</si>
  <si>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</si>
  <si>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</si>
  <si>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</si>
  <si>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</si>
  <si>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</si>
  <si>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</si>
  <si>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</si>
  <si>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</si>
  <si>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</si>
  <si>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</si>
  <si>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</si>
  <si>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</si>
  <si>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</si>
  <si>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</si>
  <si>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</si>
  <si>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</si>
  <si>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</si>
  <si>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</si>
  <si>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</si>
  <si>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</si>
  <si>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</si>
  <si>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</si>
  <si>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</si>
  <si>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</si>
  <si>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</si>
  <si>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</si>
  <si>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</si>
  <si>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</si>
  <si>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</si>
  <si>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</si>
  <si>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</si>
  <si>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</si>
  <si>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</si>
  <si>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</si>
  <si>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</si>
  <si>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</si>
  <si>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</si>
  <si>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</si>
  <si>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</si>
  <si>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</si>
  <si>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</si>
  <si>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</si>
  <si>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</si>
  <si>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</si>
  <si>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</si>
  <si>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</si>
  <si>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</si>
  <si>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</si>
  <si>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</si>
  <si>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</si>
  <si>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</si>
  <si>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</si>
  <si>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</si>
  <si>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</si>
  <si>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</si>
  <si>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</si>
  <si>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</si>
  <si>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</si>
  <si>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</si>
  <si>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</si>
  <si>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</si>
  <si>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</si>
  <si>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</si>
  <si>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</si>
  <si>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</si>
  <si>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</si>
  <si>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</si>
  <si>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</si>
  <si>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</si>
  <si>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</si>
  <si>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</si>
  <si>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</si>
  <si>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</si>
  <si>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</si>
  <si>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</si>
  <si>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</si>
  <si>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</si>
  <si>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</si>
  <si>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</si>
  <si>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</si>
  <si>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</si>
  <si>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</si>
  <si>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</si>
  <si>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</si>
  <si>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</si>
  <si>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</si>
  <si>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</si>
  <si>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</si>
  <si>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</si>
  <si>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</si>
  <si>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</si>
  <si>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</si>
  <si>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</si>
  <si>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</si>
  <si>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</si>
  <si>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</si>
  <si>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</si>
  <si>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</si>
  <si>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</si>
  <si>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</si>
  <si>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</si>
  <si>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</si>
  <si>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</si>
  <si>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</si>
  <si>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</si>
  <si>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</si>
  <si>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</si>
  <si>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</si>
  <si>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</si>
  <si>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</si>
  <si>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</si>
  <si>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</si>
  <si>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</si>
  <si>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</si>
  <si>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</si>
  <si>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</si>
  <si>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</si>
  <si>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</si>
  <si>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</si>
  <si>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</si>
  <si>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</si>
  <si>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</si>
  <si>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</si>
  <si>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</si>
  <si>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</si>
  <si>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</si>
  <si>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</si>
  <si>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</si>
  <si>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</si>
  <si>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</si>
  <si>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</si>
  <si>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</si>
  <si>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</si>
  <si>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</si>
  <si>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</si>
  <si>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</si>
  <si>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</si>
  <si>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</si>
  <si>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</si>
  <si>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</si>
  <si>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</si>
  <si>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</si>
  <si>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</si>
  <si>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</si>
  <si>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</si>
  <si>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</si>
  <si>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</si>
  <si>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</si>
  <si>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</si>
  <si>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</si>
  <si>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</si>
  <si>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</si>
  <si>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</si>
  <si>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</si>
  <si>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</si>
  <si>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</si>
  <si>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</si>
  <si>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</si>
  <si>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</si>
  <si>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</si>
  <si>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</si>
  <si>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</si>
  <si>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</si>
  <si>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</si>
  <si>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</si>
  <si>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</si>
  <si>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</si>
  <si>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</si>
  <si>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</si>
  <si>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</si>
  <si>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</si>
  <si>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</si>
  <si>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</si>
  <si>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</si>
  <si>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</si>
  <si>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</si>
  <si>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</si>
  <si>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</si>
  <si>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</si>
  <si>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</si>
  <si>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</si>
  <si>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</si>
  <si>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</si>
  <si>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</si>
  <si>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</si>
  <si>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</si>
  <si>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</si>
  <si>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</si>
  <si>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</si>
  <si>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</si>
  <si>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</si>
  <si>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</si>
  <si>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</si>
  <si>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</si>
  <si>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</si>
  <si>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</si>
  <si>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</si>
  <si>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</si>
  <si>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</si>
  <si>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</si>
  <si>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</si>
  <si>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</si>
  <si>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</si>
  <si>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</si>
  <si>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</si>
  <si>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</si>
  <si>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</si>
  <si>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</si>
  <si>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</si>
  <si>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</si>
  <si>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</si>
  <si>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</si>
  <si>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</si>
  <si>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</si>
  <si>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</si>
  <si>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</si>
  <si>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</si>
  <si>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</si>
  <si>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</si>
  <si>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</si>
  <si>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</si>
  <si>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</si>
  <si>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</si>
  <si>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</si>
  <si>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</si>
  <si>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</si>
  <si>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</si>
  <si>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</si>
  <si>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</si>
  <si>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</si>
  <si>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</si>
  <si>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</si>
  <si>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</si>
  <si>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</si>
  <si>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</si>
  <si>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</si>
  <si>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</si>
  <si>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</si>
  <si>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</si>
  <si>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</si>
  <si>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</si>
  <si>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</si>
  <si>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</si>
  <si>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</si>
  <si>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</si>
  <si>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</si>
  <si>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</si>
  <si>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</si>
  <si>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</si>
  <si>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</si>
  <si>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</si>
  <si>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</si>
  <si>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</si>
  <si>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</si>
  <si>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</si>
  <si>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</si>
  <si>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</si>
  <si>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</si>
  <si>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</si>
  <si>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</si>
  <si>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</si>
  <si>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</si>
  <si>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</si>
  <si>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</si>
  <si>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</si>
  <si>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</si>
  <si>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</si>
  <si>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</si>
  <si>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</si>
  <si>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</si>
  <si>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</si>
  <si>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</si>
  <si>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</si>
  <si>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</si>
  <si>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</si>
  <si>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</si>
  <si>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</si>
  <si>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</si>
  <si>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</si>
  <si>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</si>
  <si>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</si>
  <si>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</si>
  <si>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</si>
  <si>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</si>
  <si>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</si>
  <si>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</si>
  <si>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</si>
  <si>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</si>
  <si>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</si>
  <si>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</si>
  <si>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</si>
  <si>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</si>
  <si>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</si>
  <si>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</si>
  <si>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</si>
  <si>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</si>
  <si>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</si>
  <si>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</si>
  <si>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</si>
  <si>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</si>
  <si>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</si>
  <si>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</si>
  <si>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</si>
  <si>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</si>
  <si>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</si>
  <si>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</si>
  <si>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</si>
  <si>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</si>
  <si>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</si>
  <si>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</si>
  <si>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</si>
  <si>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</si>
  <si>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</si>
  <si>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</si>
  <si>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</si>
  <si>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</si>
  <si>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</si>
  <si>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</si>
  <si>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</si>
  <si>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</si>
  <si>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</si>
  <si>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</si>
  <si>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</si>
  <si>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</si>
  <si>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</si>
  <si>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</si>
  <si>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</si>
  <si>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</si>
  <si>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</si>
  <si>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</si>
  <si>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</si>
  <si>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</si>
  <si>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</si>
  <si>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</si>
  <si>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</si>
  <si>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</si>
  <si>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</si>
  <si>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</si>
  <si>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</si>
  <si>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</si>
  <si>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</si>
  <si>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</si>
  <si>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</si>
  <si>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</si>
  <si>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</si>
  <si>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</si>
  <si>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</si>
  <si>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</si>
  <si>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</si>
  <si>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</si>
  <si>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</si>
  <si>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</si>
  <si>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</si>
  <si>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</si>
  <si>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</si>
  <si>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</si>
  <si>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</si>
  <si>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</si>
  <si>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</si>
  <si>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</si>
  <si>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</si>
  <si>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</si>
  <si>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</si>
  <si>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</si>
  <si>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</si>
  <si>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</si>
  <si>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</si>
  <si>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</si>
  <si>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</si>
  <si>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</si>
  <si>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</si>
  <si>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</si>
  <si>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</si>
  <si>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</si>
  <si>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</si>
  <si>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</si>
  <si>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</si>
  <si>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</si>
  <si>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</si>
  <si>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</si>
  <si>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</si>
  <si>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</si>
  <si>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</si>
  <si>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</si>
  <si>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</si>
  <si>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</si>
  <si>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</si>
  <si>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</si>
  <si>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</si>
  <si>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</si>
  <si>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</si>
  <si>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</si>
  <si>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</si>
  <si>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</si>
  <si>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</si>
  <si>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</si>
  <si>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</si>
  <si>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</si>
  <si>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</si>
  <si>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</si>
  <si>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</si>
  <si>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</si>
  <si>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</si>
  <si>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</si>
  <si>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</si>
  <si>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</si>
  <si>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</si>
  <si>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</si>
  <si>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</si>
  <si>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</si>
  <si>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</si>
  <si>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</si>
  <si>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</si>
  <si>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</si>
  <si>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</si>
  <si>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</si>
  <si>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</si>
  <si>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</si>
  <si>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</si>
  <si>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</si>
  <si>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</si>
  <si>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</si>
  <si>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</si>
  <si>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</si>
  <si>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</si>
  <si>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</si>
  <si>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</si>
  <si>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</si>
  <si>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</si>
  <si>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</si>
  <si>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</si>
  <si>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</si>
  <si>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</si>
  <si>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</si>
  <si>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</si>
  <si>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</si>
  <si>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</si>
  <si>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</si>
  <si>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</si>
  <si>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</si>
  <si>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</si>
  <si>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</si>
  <si>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</si>
  <si>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</si>
  <si>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</si>
  <si>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</si>
  <si>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</si>
  <si>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</si>
  <si>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</si>
  <si>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</si>
  <si>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</si>
  <si>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</si>
  <si>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</si>
  <si>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</si>
  <si>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</si>
  <si>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</si>
  <si>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</si>
  <si>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</si>
  <si>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</si>
  <si>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</si>
  <si>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</si>
  <si>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</si>
  <si>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</si>
  <si>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</si>
  <si>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</si>
  <si>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</si>
  <si>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</si>
  <si>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</si>
  <si>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</si>
  <si>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</si>
  <si>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</si>
  <si>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</si>
  <si>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</si>
  <si>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</si>
  <si>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</si>
  <si>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</si>
  <si>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</si>
  <si>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</si>
  <si>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</si>
  <si>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</si>
  <si>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</si>
  <si>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</si>
  <si>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</si>
  <si>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</si>
  <si>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</si>
  <si>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</si>
  <si>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</si>
  <si>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</si>
  <si>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</si>
  <si>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</si>
  <si>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</si>
  <si>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</si>
  <si>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</si>
  <si>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</si>
  <si>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</si>
  <si>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</si>
  <si>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</si>
  <si>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</si>
  <si>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</si>
  <si>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</si>
  <si>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</si>
  <si>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</si>
  <si>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</si>
  <si>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</si>
  <si>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</si>
  <si>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</si>
  <si>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</si>
  <si>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</si>
  <si>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</si>
  <si>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</si>
  <si>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</si>
  <si>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</si>
  <si>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</si>
  <si>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</si>
  <si>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</si>
  <si>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</si>
  <si>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</si>
  <si>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</si>
  <si>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</si>
  <si>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</si>
  <si>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</si>
  <si>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</si>
  <si>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</si>
  <si>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</si>
  <si>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</si>
  <si>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</si>
  <si>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</si>
  <si>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</si>
  <si>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</si>
  <si>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</si>
  <si>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</si>
  <si>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</si>
  <si>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</si>
  <si>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</si>
  <si>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</si>
  <si>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</si>
  <si>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</si>
  <si>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</si>
  <si>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</si>
  <si>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</si>
  <si>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</si>
  <si>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</si>
  <si>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</si>
  <si>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</si>
  <si>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</si>
  <si>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</si>
  <si>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</si>
  <si>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</si>
  <si>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</si>
  <si>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</si>
  <si>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</si>
  <si>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</si>
  <si>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</si>
  <si>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</si>
  <si>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</si>
  <si>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</si>
  <si>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</si>
  <si>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</si>
  <si>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</si>
  <si>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</si>
  <si>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</si>
  <si>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</si>
  <si>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</si>
  <si>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</si>
  <si>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</si>
  <si>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</si>
  <si>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</si>
  <si>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</si>
  <si>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</si>
  <si>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</si>
  <si>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</si>
  <si>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</si>
  <si>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</si>
  <si>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</si>
  <si>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</si>
  <si>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</si>
  <si>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</si>
  <si>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</si>
  <si>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</si>
  <si>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</si>
  <si>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</si>
  <si>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</si>
  <si>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</si>
  <si>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</si>
  <si>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</si>
  <si>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</si>
  <si>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</si>
  <si>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</si>
  <si>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</si>
  <si>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</si>
  <si>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</si>
  <si>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</si>
  <si>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</si>
  <si>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</si>
  <si>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</si>
  <si>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</si>
  <si>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</si>
  <si>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</si>
  <si>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</si>
  <si>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</si>
  <si>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</si>
  <si>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</si>
  <si>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</si>
  <si>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</si>
  <si>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</si>
  <si>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</si>
  <si>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</si>
  <si>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</si>
  <si>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</si>
  <si>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</si>
  <si>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</si>
  <si>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</si>
  <si>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</si>
  <si>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</si>
  <si>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</si>
  <si>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</si>
  <si>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</si>
  <si>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</si>
  <si>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</si>
  <si>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</si>
  <si>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</si>
  <si>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</si>
  <si>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</si>
  <si>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</si>
  <si>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</si>
  <si>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</si>
  <si>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</si>
  <si>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</si>
  <si>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</si>
  <si>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</si>
  <si>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</si>
  <si>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</si>
  <si>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</si>
  <si>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</si>
  <si>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</si>
  <si>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</si>
  <si>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</si>
  <si>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</si>
  <si>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</si>
  <si>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</si>
  <si>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</si>
  <si>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</si>
  <si>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</si>
  <si>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</si>
  <si>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</si>
  <si>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</si>
  <si>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</si>
  <si>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</si>
  <si>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</si>
  <si>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</si>
  <si>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</si>
  <si>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</si>
  <si>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</si>
  <si>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</si>
  <si>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</si>
  <si>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</si>
  <si>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</si>
  <si>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</si>
  <si>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</si>
  <si>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</si>
  <si>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</si>
  <si>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</si>
  <si>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</si>
  <si>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</si>
  <si>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</si>
  <si>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</si>
  <si>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</si>
  <si>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</si>
  <si>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</si>
  <si>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</si>
  <si>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</si>
  <si>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</si>
  <si>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</si>
  <si>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</si>
  <si>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</si>
  <si>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</si>
  <si>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</si>
  <si>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</si>
  <si>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</si>
  <si>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</si>
  <si>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</si>
  <si>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</si>
  <si>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</si>
  <si>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</si>
  <si>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</si>
  <si>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</si>
  <si>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</si>
  <si>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</si>
  <si>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</si>
  <si>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</si>
  <si>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</si>
  <si>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</si>
  <si>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</si>
  <si>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</si>
  <si>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</si>
  <si>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</si>
  <si>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</si>
  <si>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</si>
  <si>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</si>
  <si>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</si>
  <si>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</si>
  <si>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</si>
  <si>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</si>
  <si>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</si>
  <si>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</si>
  <si>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</si>
  <si>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</si>
  <si>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</si>
  <si>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</si>
  <si>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</si>
  <si>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</si>
  <si>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</si>
  <si>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</si>
  <si>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</si>
  <si>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</si>
  <si>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</si>
  <si>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</si>
  <si>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</si>
  <si>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</si>
  <si>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</si>
  <si>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</si>
  <si>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</si>
  <si>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</si>
  <si>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</si>
  <si>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</si>
  <si>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</si>
  <si>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</si>
  <si>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</si>
  <si>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</si>
  <si>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</si>
  <si>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</si>
  <si>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</si>
  <si>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</si>
  <si>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</si>
  <si>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</si>
  <si>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</si>
  <si>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</si>
  <si>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</si>
  <si>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</si>
  <si>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</si>
  <si>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</si>
  <si>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</si>
  <si>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</si>
  <si>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</si>
  <si>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</si>
  <si>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</si>
  <si>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</si>
  <si>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</si>
  <si>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</si>
  <si>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</si>
  <si>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</si>
  <si>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</si>
  <si>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</si>
  <si>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</si>
  <si>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</si>
  <si>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</si>
  <si>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</si>
  <si>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</si>
  <si>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</si>
  <si>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</si>
  <si>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</si>
  <si>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</si>
  <si>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</si>
  <si>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</si>
  <si>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</si>
  <si>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</si>
  <si>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</si>
  <si>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</si>
  <si>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</si>
  <si>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</si>
  <si>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</si>
  <si>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</si>
  <si>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</si>
  <si>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</si>
  <si>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</si>
  <si>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</si>
  <si>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</si>
  <si>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</si>
  <si>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</si>
  <si>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</si>
  <si>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</si>
  <si>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</si>
  <si>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</si>
  <si>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</si>
  <si>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</si>
  <si>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</si>
  <si>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</si>
  <si>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</si>
  <si>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</si>
  <si>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</si>
  <si>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</si>
  <si>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</si>
  <si>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</si>
  <si>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</si>
  <si>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</si>
  <si>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</si>
  <si>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</si>
  <si>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</si>
  <si>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</si>
  <si>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</si>
  <si>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</si>
  <si>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</si>
  <si>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</si>
  <si>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</si>
  <si>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</si>
  <si>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</si>
  <si>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</si>
  <si>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</si>
  <si>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</si>
  <si>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</si>
  <si>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</si>
  <si>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</si>
  <si>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</si>
  <si>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</si>
  <si>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</si>
  <si>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</si>
  <si>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</si>
  <si>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</si>
  <si>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</si>
  <si>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</si>
  <si>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</si>
  <si>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</si>
  <si>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</si>
  <si>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</si>
  <si>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</si>
  <si>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</si>
  <si>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</si>
  <si>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</si>
  <si>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</si>
  <si>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</si>
  <si>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</si>
  <si>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</si>
  <si>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</si>
  <si>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</si>
  <si>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</si>
  <si>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</si>
  <si>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</si>
  <si>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</si>
  <si>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</si>
  <si>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</si>
  <si>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</si>
  <si>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</si>
  <si>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</si>
  <si>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</si>
  <si>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</si>
  <si>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</si>
  <si>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</si>
  <si>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</si>
  <si>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</si>
  <si>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</si>
  <si>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</si>
  <si>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</si>
  <si>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</si>
  <si>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</si>
  <si>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</si>
  <si>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</si>
  <si>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</si>
  <si>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</si>
  <si>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</si>
  <si>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</si>
  <si>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</si>
  <si>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</si>
  <si>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</si>
  <si>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</si>
  <si>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</si>
  <si>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</si>
  <si>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</si>
  <si>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</si>
  <si>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</si>
  <si>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</si>
  <si>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</si>
  <si>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</si>
  <si>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</si>
  <si>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</si>
  <si>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</si>
  <si>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</si>
  <si>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</si>
  <si>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</si>
  <si>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</si>
  <si>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</si>
  <si>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</si>
  <si>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</si>
  <si>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</si>
  <si>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</si>
  <si>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</si>
  <si>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</si>
  <si>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</si>
  <si>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</si>
  <si>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</si>
  <si>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</si>
  <si>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</si>
  <si>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</si>
  <si>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</si>
  <si>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</si>
  <si>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</si>
  <si>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</si>
  <si>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</si>
  <si>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</si>
  <si>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</si>
  <si>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</si>
  <si>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</si>
  <si>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</si>
  <si>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</si>
  <si>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</si>
  <si>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</si>
  <si>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</si>
  <si>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</si>
  <si>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</si>
  <si>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</si>
  <si>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</si>
  <si>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</si>
  <si>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</si>
  <si>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</si>
  <si>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</si>
  <si>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</si>
  <si>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</si>
  <si>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</si>
  <si>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</si>
  <si>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</si>
  <si>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</si>
  <si>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</si>
  <si>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</si>
  <si>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</si>
  <si>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</si>
  <si>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</si>
  <si>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</si>
  <si>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</si>
  <si>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</si>
  <si>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</si>
  <si>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</si>
  <si>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</si>
  <si>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</si>
  <si>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</si>
  <si>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</si>
  <si>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</si>
  <si>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</si>
  <si>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</si>
  <si>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</si>
  <si>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</si>
  <si>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</si>
  <si>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</si>
  <si>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</si>
  <si>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</si>
  <si>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</si>
  <si>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</si>
  <si>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</si>
  <si>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</si>
  <si>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</si>
  <si>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</si>
  <si>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</si>
  <si>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</si>
  <si>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</si>
  <si>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</si>
  <si>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</si>
  <si>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</si>
  <si>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</si>
  <si>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</si>
  <si>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</si>
  <si>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</si>
  <si>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</si>
  <si>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</si>
  <si>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</si>
  <si>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</si>
  <si>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</si>
  <si>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</si>
  <si>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</si>
  <si>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</si>
  <si>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</si>
  <si>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</si>
  <si>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</si>
  <si>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</si>
  <si>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</si>
  <si>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</si>
  <si>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</si>
  <si>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</si>
  <si>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</si>
  <si>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</si>
  <si>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</si>
  <si>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</si>
  <si>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</si>
  <si>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</si>
  <si>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</si>
  <si>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</si>
  <si>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</si>
  <si>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</si>
  <si>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</si>
  <si>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</si>
  <si>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</si>
  <si>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</si>
  <si>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</si>
  <si>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</si>
  <si>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</si>
  <si>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</si>
  <si>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</si>
  <si>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</si>
  <si>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</si>
  <si>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</si>
  <si>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</si>
  <si>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</si>
  <si>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</si>
  <si>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</si>
  <si>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</si>
  <si>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</si>
  <si>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</si>
  <si>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</si>
  <si>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</si>
  <si>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</si>
  <si>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</si>
  <si>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</si>
  <si>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</si>
  <si>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</si>
  <si>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</si>
  <si>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</si>
  <si>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</si>
  <si>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</si>
  <si>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</si>
  <si>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</si>
  <si>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</si>
  <si>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</si>
  <si>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</si>
  <si>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</si>
  <si>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</si>
  <si>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</si>
  <si>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</si>
  <si>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</si>
  <si>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</si>
  <si>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</si>
  <si>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</si>
  <si>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</si>
  <si>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</si>
  <si>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</si>
  <si>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</si>
  <si>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</si>
  <si>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</si>
  <si>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</si>
  <si>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</si>
  <si>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</si>
  <si>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</si>
  <si>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</si>
  <si>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</si>
  <si>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</si>
  <si>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</si>
  <si>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</si>
  <si>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</si>
  <si>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</si>
  <si>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</si>
  <si>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</si>
  <si>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</si>
  <si>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</si>
  <si>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</si>
  <si>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</si>
  <si>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</si>
  <si>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</si>
  <si>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</si>
  <si>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</si>
  <si>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</si>
  <si>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</si>
  <si>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</si>
  <si>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</si>
  <si>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</si>
  <si>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</si>
  <si>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</si>
  <si>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</si>
  <si>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</si>
  <si>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</si>
  <si>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</si>
  <si>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</si>
  <si>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</si>
  <si>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</si>
  <si>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</si>
  <si>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</si>
  <si>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</si>
  <si>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</si>
  <si>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</si>
  <si>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</si>
  <si>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</si>
  <si>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</si>
  <si>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</si>
  <si>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</si>
  <si>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</si>
  <si>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</si>
  <si>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</si>
  <si>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</si>
  <si>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</si>
  <si>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</si>
  <si>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</si>
  <si>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</si>
  <si>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</si>
  <si>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</si>
  <si>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</si>
  <si>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</si>
  <si>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</si>
  <si>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</si>
  <si>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</si>
  <si>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</si>
  <si>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</si>
  <si>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</si>
  <si>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</si>
  <si>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</si>
  <si>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</si>
  <si>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</si>
  <si>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</si>
  <si>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</si>
  <si>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</si>
  <si>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</si>
  <si>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</si>
  <si>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</si>
  <si>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</si>
  <si>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</si>
  <si>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</si>
  <si>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</si>
  <si>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</si>
  <si>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</si>
  <si>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</si>
  <si>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</si>
  <si>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</si>
  <si>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</si>
  <si>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</si>
  <si>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</si>
  <si>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</si>
  <si>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</si>
  <si>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</si>
  <si>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</si>
  <si>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</si>
  <si>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</si>
  <si>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</si>
  <si>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</si>
  <si>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</si>
  <si>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</si>
  <si>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</si>
  <si>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</si>
  <si>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</si>
  <si>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</si>
  <si>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</si>
  <si>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</si>
  <si>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</si>
  <si>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</si>
  <si>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</si>
  <si>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</si>
  <si>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</si>
  <si>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</si>
  <si>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</si>
  <si>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</si>
  <si>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</si>
  <si>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</si>
  <si>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</si>
  <si>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</si>
  <si>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</si>
  <si>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</si>
  <si>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</si>
  <si>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</si>
  <si>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</si>
  <si>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</si>
  <si>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</si>
  <si>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</si>
  <si>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</si>
  <si>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</si>
  <si>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</si>
  <si>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</si>
  <si>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</si>
  <si>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</si>
  <si>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</si>
  <si>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</si>
  <si>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</si>
  <si>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</si>
  <si>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</si>
  <si>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</si>
  <si>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</si>
  <si>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</si>
  <si>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</si>
  <si>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</si>
  <si>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</si>
  <si>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</si>
  <si>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</si>
  <si>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</si>
  <si>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</si>
  <si>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</si>
  <si>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</si>
  <si>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</si>
  <si>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</si>
  <si>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</si>
  <si>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</si>
  <si>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</si>
  <si>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</si>
  <si>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</si>
  <si>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</si>
  <si>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</si>
  <si>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</si>
  <si>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</si>
  <si>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</si>
  <si>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</si>
  <si>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</si>
  <si>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</si>
  <si>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</si>
  <si>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</si>
  <si>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</si>
  <si>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</si>
  <si>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</si>
  <si>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</si>
  <si>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</si>
  <si>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</si>
  <si>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</si>
  <si>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</si>
  <si>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</si>
  <si>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</si>
  <si>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</si>
  <si>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</si>
  <si>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</si>
  <si>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</si>
  <si>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</si>
  <si>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</si>
  <si>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</si>
  <si>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</si>
  <si>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</si>
  <si>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</si>
  <si>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</si>
  <si>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</si>
  <si>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</si>
  <si>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</si>
  <si>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</si>
  <si>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</si>
  <si>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</si>
  <si>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</si>
  <si>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</si>
  <si>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</si>
  <si>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</si>
  <si>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</si>
  <si>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</si>
  <si>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</si>
  <si>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</si>
  <si>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</si>
  <si>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</si>
  <si>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</si>
  <si>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</si>
  <si>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</si>
  <si>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</si>
  <si>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</si>
  <si>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</si>
  <si>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</si>
  <si>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</si>
  <si>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</si>
  <si>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</si>
  <si>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</si>
  <si>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</si>
  <si>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</si>
  <si>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</si>
  <si>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</si>
  <si>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</si>
  <si>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</si>
  <si>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</si>
  <si>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</si>
  <si>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</si>
  <si>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</si>
  <si>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</si>
  <si>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</si>
  <si>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</si>
  <si>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</si>
  <si>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</si>
  <si>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</si>
  <si>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</si>
  <si>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</si>
  <si>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</si>
  <si>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</si>
  <si>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</si>
  <si>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</si>
  <si>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</si>
  <si>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</si>
  <si>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</si>
  <si>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</si>
  <si>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</si>
  <si>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</si>
  <si>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</si>
  <si>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</si>
  <si>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</si>
  <si>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</si>
  <si>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</si>
  <si>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</si>
  <si>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</si>
  <si>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</si>
  <si>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</si>
  <si>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</si>
  <si>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</si>
  <si>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</si>
  <si>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</si>
  <si>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</si>
  <si>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</si>
  <si>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</si>
  <si>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</si>
  <si>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</si>
  <si>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</si>
  <si>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</si>
  <si>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</si>
  <si>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</si>
  <si>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</si>
  <si>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</si>
  <si>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</si>
  <si>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</si>
  <si>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</si>
  <si>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</si>
  <si>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</si>
  <si>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</si>
  <si>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</si>
  <si>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</si>
  <si>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</si>
  <si>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</si>
  <si>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</si>
  <si>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</si>
  <si>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</si>
  <si>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</si>
  <si>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</si>
  <si>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</si>
  <si>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</si>
  <si>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</si>
  <si>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</si>
  <si>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</si>
  <si>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</si>
  <si>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</si>
  <si>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</si>
  <si>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</si>
  <si>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</si>
  <si>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</si>
  <si>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</si>
  <si>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</si>
  <si>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</si>
  <si>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</si>
  <si>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</si>
  <si>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</si>
  <si>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</si>
  <si>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</si>
  <si>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</si>
  <si>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</si>
  <si>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</si>
  <si>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</si>
  <si>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</si>
  <si>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</si>
  <si>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</si>
  <si>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</si>
  <si>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</si>
  <si>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</si>
  <si>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</si>
  <si>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</si>
  <si>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</si>
  <si>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</si>
  <si>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</si>
  <si>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</si>
  <si>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</si>
  <si>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</si>
  <si>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</si>
  <si>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</si>
  <si>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</si>
  <si>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</si>
  <si>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</si>
  <si>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</si>
  <si>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</si>
  <si>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</si>
  <si>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</si>
  <si>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</si>
  <si>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</si>
  <si>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</si>
  <si>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</si>
  <si>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</si>
  <si>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</si>
  <si>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</si>
  <si>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</si>
  <si>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</si>
  <si>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</si>
  <si>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</si>
  <si>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</si>
  <si>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</si>
  <si>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</si>
  <si>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</si>
  <si>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</si>
  <si>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</si>
  <si>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</si>
  <si>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</si>
  <si>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</si>
  <si>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</si>
  <si>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</si>
  <si>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</si>
  <si>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</si>
  <si>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</si>
  <si>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</si>
  <si>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</si>
  <si>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</si>
  <si>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</si>
  <si>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</si>
  <si>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</si>
  <si>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</si>
  <si>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</si>
  <si>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</si>
  <si>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</si>
  <si>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</si>
  <si>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</si>
  <si>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</si>
  <si>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</si>
  <si>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</si>
  <si>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</si>
  <si>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</si>
  <si>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</si>
  <si>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</si>
  <si>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</si>
  <si>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</si>
  <si>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</si>
  <si>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</si>
  <si>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</si>
  <si>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</si>
  <si>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</si>
  <si>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</si>
  <si>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</si>
  <si>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</si>
  <si>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</si>
  <si>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</si>
  <si>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</si>
  <si>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</si>
  <si>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</si>
  <si>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</si>
  <si>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</si>
  <si>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</si>
  <si>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</si>
  <si>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</si>
  <si>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</si>
  <si>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</si>
  <si>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</si>
  <si>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</si>
  <si>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</si>
  <si>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</si>
  <si>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</si>
  <si>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</si>
  <si>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</si>
  <si>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</si>
  <si>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</si>
  <si>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</si>
  <si>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</si>
  <si>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</si>
  <si>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</si>
  <si>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</si>
  <si>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</si>
  <si>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</si>
  <si>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</si>
  <si>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</si>
  <si>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</si>
  <si>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</si>
  <si>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</si>
  <si>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</si>
  <si>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</si>
  <si>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</si>
  <si>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</si>
  <si>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</si>
  <si>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</si>
  <si>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</si>
  <si>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</si>
  <si>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</si>
  <si>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</si>
  <si>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</si>
  <si>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</si>
  <si>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</si>
  <si>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</si>
  <si>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</si>
  <si>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</si>
  <si>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</si>
  <si>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</si>
  <si>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</si>
  <si>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</si>
  <si>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</si>
  <si>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</si>
  <si>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</si>
  <si>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</si>
  <si>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</si>
  <si>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</si>
  <si>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</si>
  <si>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</si>
  <si>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</si>
  <si>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</si>
  <si>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</si>
  <si>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</si>
  <si>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</si>
  <si>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</si>
  <si>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</si>
  <si>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</si>
  <si>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</si>
  <si>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</si>
  <si>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</si>
  <si>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</si>
  <si>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</si>
  <si>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</si>
  <si>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</si>
  <si>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</si>
  <si>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</si>
  <si>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</si>
  <si>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</si>
  <si>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</si>
  <si>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</si>
  <si>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</si>
  <si>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</si>
  <si>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</si>
  <si>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</si>
  <si>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</si>
  <si>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</si>
  <si>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</si>
  <si>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</si>
  <si>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</si>
  <si>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</si>
  <si>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</si>
  <si>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</si>
  <si>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</si>
  <si>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</si>
  <si>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</si>
  <si>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</si>
  <si>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</si>
  <si>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</si>
  <si>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</si>
  <si>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</si>
  <si>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</si>
  <si>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</si>
  <si>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</si>
  <si>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</si>
  <si>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</si>
  <si>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</si>
  <si>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</si>
  <si>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</si>
  <si>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</si>
  <si>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</si>
  <si>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</si>
  <si>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</si>
  <si>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</si>
  <si>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</si>
  <si>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</si>
  <si>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</si>
  <si>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</si>
  <si>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</si>
  <si>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</si>
  <si>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</si>
  <si>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</si>
  <si>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</si>
  <si>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</si>
  <si>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</si>
  <si>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</si>
  <si>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</si>
  <si>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</si>
  <si>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</si>
  <si>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</si>
  <si>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</si>
  <si>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</si>
  <si>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</si>
  <si>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</si>
  <si>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</si>
  <si>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</si>
  <si>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</si>
  <si>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</si>
  <si>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</si>
  <si>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</si>
  <si>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</si>
  <si>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</si>
  <si>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</si>
  <si>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</si>
  <si>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</si>
  <si>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</si>
  <si>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</si>
  <si>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</si>
  <si>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</si>
  <si>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</si>
  <si>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</si>
  <si>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</si>
  <si>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</si>
  <si>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</si>
  <si>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</si>
  <si>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</si>
  <si>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</si>
  <si>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</si>
  <si>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</si>
  <si>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</si>
  <si>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</si>
  <si>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</si>
  <si>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</si>
  <si>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</si>
  <si>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</si>
  <si>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</si>
  <si>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</si>
  <si>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</si>
  <si>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</si>
  <si>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</si>
  <si>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</si>
  <si>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</si>
  <si>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</si>
  <si>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</si>
  <si>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</si>
  <si>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</si>
  <si>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</si>
  <si>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</si>
  <si>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</si>
  <si>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</si>
  <si>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</si>
  <si>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</si>
  <si>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</si>
  <si>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</si>
  <si>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</si>
  <si>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</si>
  <si>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</si>
  <si>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</si>
  <si>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</si>
  <si>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</si>
  <si>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</si>
  <si>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</si>
  <si>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</si>
  <si>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</si>
  <si>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</si>
  <si>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</si>
  <si>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</si>
  <si>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</si>
  <si>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</si>
  <si>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</si>
  <si>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</si>
  <si>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</si>
  <si>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</si>
  <si>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</si>
  <si>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</si>
  <si>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</si>
  <si>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</si>
  <si>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</si>
  <si>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</si>
  <si>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</si>
  <si>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</si>
  <si>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</si>
  <si>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</si>
  <si>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</si>
  <si>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</si>
  <si>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</si>
  <si>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</si>
  <si>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</si>
  <si>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</si>
  <si>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</si>
  <si>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</si>
  <si>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</si>
  <si>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</si>
  <si>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</si>
  <si>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</si>
  <si>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</si>
  <si>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</si>
  <si>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</si>
  <si>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</si>
  <si>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</si>
  <si>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</si>
  <si>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</si>
  <si>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</si>
  <si>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</si>
  <si>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</si>
  <si>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</si>
  <si>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</si>
  <si>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</si>
  <si>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</si>
  <si>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</si>
  <si>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</si>
  <si>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</si>
  <si>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</si>
  <si>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</si>
  <si>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</si>
  <si>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</si>
  <si>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</si>
  <si>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</si>
  <si>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</si>
  <si>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</si>
  <si>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</si>
  <si>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</si>
  <si>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</si>
  <si>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</si>
  <si>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</si>
  <si>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</si>
  <si>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</si>
  <si>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</si>
  <si>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</si>
  <si>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</si>
  <si>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</si>
  <si>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</si>
  <si>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</si>
  <si>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</si>
  <si>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</si>
  <si>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</si>
  <si>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</si>
  <si>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</si>
  <si>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</si>
  <si>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</si>
  <si>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</si>
  <si>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</si>
  <si>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</si>
  <si>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</si>
  <si>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</si>
  <si>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</si>
  <si>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</si>
  <si>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</si>
  <si>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</si>
  <si>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</si>
  <si>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</si>
  <si>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</si>
  <si>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</si>
  <si>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</si>
  <si>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</si>
  <si>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</si>
  <si>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</si>
  <si>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</si>
  <si>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</si>
  <si>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</si>
  <si>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</si>
  <si>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</si>
  <si>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</si>
  <si>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</si>
  <si>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</si>
  <si>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</si>
  <si>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</si>
  <si>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</si>
  <si>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</si>
  <si>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</si>
  <si>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</si>
  <si>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</si>
  <si>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</si>
  <si>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</si>
  <si>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</si>
  <si>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</si>
  <si>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</si>
  <si>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</si>
  <si>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</si>
  <si>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</si>
  <si>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</si>
  <si>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</si>
  <si>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</si>
  <si>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</si>
  <si>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</si>
  <si>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</si>
  <si>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</si>
  <si>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</si>
  <si>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</si>
  <si>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</si>
  <si>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</si>
  <si>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</si>
  <si>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</si>
  <si>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</si>
  <si>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</si>
  <si>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</si>
  <si>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</si>
  <si>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</si>
  <si>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</si>
  <si>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</si>
  <si>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</si>
  <si>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</si>
  <si>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</si>
  <si>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</si>
  <si>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</si>
  <si>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</si>
  <si>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</si>
  <si>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</si>
  <si>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</si>
  <si>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</si>
  <si>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</si>
  <si>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</si>
  <si>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</si>
  <si>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</si>
  <si>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</si>
  <si>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</si>
  <si>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</si>
  <si>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</si>
  <si>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</si>
  <si>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</si>
  <si>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</si>
  <si>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</si>
  <si>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</si>
  <si>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</si>
  <si>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</si>
  <si>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</si>
  <si>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</si>
  <si>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</si>
  <si>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</si>
  <si>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</si>
  <si>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</si>
  <si>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</si>
  <si>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</si>
  <si>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</si>
  <si>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</si>
  <si>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</si>
  <si>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</si>
  <si>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</si>
  <si>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</si>
  <si>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</si>
  <si>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</si>
  <si>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</si>
  <si>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</si>
  <si>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</si>
  <si>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</si>
  <si>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</si>
  <si>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</si>
  <si>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</si>
  <si>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</si>
  <si>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</si>
  <si>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</si>
  <si>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</si>
  <si>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</si>
  <si>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</si>
  <si>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</si>
  <si>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</si>
  <si>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</si>
  <si>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</si>
  <si>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</si>
  <si>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</si>
  <si>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</si>
  <si>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</si>
  <si>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</si>
  <si>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</si>
  <si>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</si>
  <si>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</si>
  <si>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</si>
  <si>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</si>
  <si>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</si>
  <si>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</si>
  <si>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</si>
  <si>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</si>
  <si>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</si>
  <si>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</si>
  <si>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</si>
  <si>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</si>
  <si>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</si>
  <si>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</si>
  <si>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</si>
  <si>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</si>
  <si>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</si>
  <si>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</si>
  <si>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</si>
  <si>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</si>
  <si>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</si>
  <si>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</si>
  <si>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</si>
  <si>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</si>
  <si>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</si>
  <si>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</si>
  <si>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</si>
  <si>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</si>
  <si>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</si>
  <si>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</si>
  <si>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</si>
  <si>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</si>
  <si>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</si>
  <si>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</si>
  <si>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</si>
  <si>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</si>
  <si>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</si>
  <si>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</si>
  <si>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</si>
  <si>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</si>
  <si>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</si>
  <si>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</si>
  <si>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</si>
  <si>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</si>
  <si>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</si>
  <si>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</si>
  <si>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</si>
  <si>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</si>
  <si>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</si>
  <si>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</si>
  <si>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</si>
  <si>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</si>
  <si>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</si>
  <si>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</si>
  <si>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</si>
  <si>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</si>
  <si>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</si>
  <si>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</si>
  <si>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</si>
  <si>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</si>
  <si>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</si>
  <si>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</si>
  <si>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</si>
  <si>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</si>
  <si>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</si>
  <si>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</si>
  <si>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</si>
  <si>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</si>
  <si>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</si>
  <si>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</si>
  <si>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</si>
  <si>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</si>
  <si>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</si>
  <si>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</si>
  <si>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</si>
  <si>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</si>
  <si>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</si>
  <si>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</si>
  <si>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</si>
  <si>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</si>
  <si>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</si>
  <si>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</si>
  <si>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</si>
  <si>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</si>
  <si>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</si>
  <si>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</si>
  <si>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</si>
  <si>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</si>
  <si>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</si>
  <si>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</si>
  <si>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</si>
  <si>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</si>
  <si>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</si>
  <si>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</si>
  <si>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</si>
  <si>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</si>
  <si>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</si>
  <si>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</si>
  <si>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</si>
  <si>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</si>
  <si>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</si>
  <si>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</si>
  <si>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</si>
  <si>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</si>
  <si>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</si>
  <si>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</si>
  <si>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</si>
  <si>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</si>
  <si>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</si>
  <si>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</si>
  <si>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</si>
  <si>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</si>
  <si>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</si>
  <si>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</si>
  <si>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</si>
  <si>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</si>
  <si>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</si>
  <si>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</si>
  <si>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</si>
  <si>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</si>
  <si>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</si>
  <si>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</si>
  <si>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</si>
  <si>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</si>
  <si>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</si>
  <si>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</si>
  <si>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</si>
  <si>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</si>
  <si>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</si>
  <si>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</si>
  <si>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</si>
  <si>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</si>
  <si>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</si>
  <si>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</si>
  <si>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</si>
  <si>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</si>
  <si>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</si>
  <si>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</si>
  <si>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</si>
  <si>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</si>
  <si>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</si>
  <si>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</si>
  <si>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</si>
  <si>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</si>
  <si>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</si>
  <si>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</si>
  <si>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</si>
  <si>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</si>
  <si>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</si>
  <si>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</si>
  <si>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</si>
  <si>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</si>
  <si>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</si>
  <si>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</si>
  <si>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</si>
  <si>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</si>
  <si>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</si>
  <si>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</si>
  <si>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</si>
  <si>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</si>
  <si>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</si>
  <si>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</si>
  <si>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</si>
  <si>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</si>
  <si>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</si>
  <si>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</si>
  <si>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</si>
  <si>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</si>
  <si>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</si>
  <si>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</si>
  <si>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</si>
  <si>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</si>
  <si>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</si>
  <si>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</si>
  <si>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</si>
  <si>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</si>
  <si>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</si>
  <si>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</si>
  <si>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</si>
  <si>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</si>
  <si>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</si>
  <si>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</si>
  <si>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</si>
  <si>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</si>
  <si>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</si>
  <si>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</si>
  <si>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</si>
  <si>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</si>
  <si>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</si>
  <si>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</si>
  <si>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</si>
  <si>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</si>
  <si>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</si>
  <si>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</si>
  <si>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</si>
  <si>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</si>
  <si>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</si>
  <si>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</si>
  <si>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</si>
  <si>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</si>
  <si>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</si>
  <si>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</si>
  <si>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</si>
  <si>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</si>
  <si>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</si>
  <si>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</si>
  <si>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</si>
  <si>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</si>
  <si>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</si>
  <si>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</si>
  <si>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</si>
  <si>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</si>
  <si>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</si>
  <si>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</si>
  <si>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</si>
  <si>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</si>
  <si>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</si>
  <si>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</si>
  <si>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</si>
  <si>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</si>
  <si>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</si>
  <si>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</si>
  <si>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</si>
  <si>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</si>
  <si>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</si>
  <si>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</si>
  <si>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</si>
  <si>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</si>
  <si>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</si>
  <si>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</si>
  <si>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</si>
  <si>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</si>
  <si>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</si>
  <si>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</si>
  <si>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</si>
  <si>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</si>
  <si>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</si>
  <si>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</si>
  <si>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</si>
  <si>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</si>
  <si>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</si>
  <si>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</si>
  <si>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</si>
  <si>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</si>
  <si>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</si>
  <si>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</si>
  <si>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</si>
  <si>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</si>
  <si>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</si>
  <si>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</si>
  <si>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</si>
  <si>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</si>
  <si>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</si>
  <si>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</si>
  <si>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</si>
  <si>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</si>
  <si>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</si>
  <si>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</si>
  <si>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</si>
  <si>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</si>
  <si>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</si>
  <si>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</si>
  <si>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</si>
  <si>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</si>
  <si>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</si>
  <si>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</si>
  <si>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</si>
  <si>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</si>
  <si>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</si>
  <si>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</si>
  <si>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</si>
  <si>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</si>
  <si>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</si>
  <si>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</si>
  <si>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</si>
  <si>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</si>
  <si>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</si>
  <si>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</si>
  <si>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</si>
  <si>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</si>
  <si>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</si>
  <si>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</si>
  <si>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</si>
  <si>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</si>
  <si>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</si>
  <si>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</si>
  <si>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</si>
  <si>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</si>
  <si>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</si>
  <si>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</si>
  <si>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</si>
  <si>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</si>
  <si>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</si>
  <si>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</si>
  <si>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</si>
  <si>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</si>
  <si>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</si>
  <si>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</si>
  <si>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</si>
  <si>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</si>
  <si>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</si>
  <si>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</si>
  <si>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</si>
  <si>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</si>
  <si>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</si>
  <si>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</si>
  <si>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</si>
  <si>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</si>
  <si>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</si>
  <si>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</si>
  <si>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</si>
  <si>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</si>
  <si>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</si>
  <si>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</si>
  <si>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</si>
  <si>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</si>
  <si>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</si>
  <si>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</si>
  <si>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</si>
  <si>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</si>
  <si>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</si>
  <si>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</si>
  <si>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</si>
  <si>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</si>
  <si>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</si>
  <si>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</si>
  <si>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</si>
  <si>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</si>
  <si>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</si>
  <si>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</si>
  <si>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</si>
  <si>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</si>
  <si>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</si>
  <si>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</si>
  <si>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</si>
  <si>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</si>
  <si>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</si>
  <si>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</si>
  <si>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</si>
  <si>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</si>
  <si>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</si>
  <si>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</si>
  <si>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</si>
  <si>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</si>
  <si>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</si>
  <si>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</si>
  <si>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</si>
  <si>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</si>
  <si>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</si>
  <si>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</si>
  <si>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</si>
  <si>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</si>
  <si>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</si>
  <si>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</si>
  <si>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</si>
  <si>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</si>
  <si>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</si>
  <si>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</si>
  <si>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</si>
  <si>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</si>
  <si>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</si>
  <si>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</si>
  <si>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</si>
  <si>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</si>
  <si>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</si>
  <si>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</si>
  <si>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</si>
  <si>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</si>
  <si>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</si>
  <si>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</si>
  <si>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</si>
  <si>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</si>
  <si>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</si>
  <si>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</si>
  <si>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</si>
  <si>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</si>
  <si>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</si>
  <si>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</si>
  <si>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</si>
  <si>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</si>
  <si>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</si>
  <si>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</si>
  <si>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</si>
  <si>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</si>
  <si>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</si>
  <si>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</si>
  <si>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</si>
  <si>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</si>
  <si>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</si>
  <si>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</si>
  <si>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</si>
  <si>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</si>
  <si>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</si>
  <si>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</si>
  <si>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</si>
  <si>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</si>
  <si>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</si>
  <si>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</si>
  <si>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</si>
  <si>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</si>
  <si>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</si>
  <si>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</si>
  <si>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</si>
  <si>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</si>
  <si>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</si>
  <si>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</si>
  <si>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</si>
  <si>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</si>
  <si>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</si>
  <si>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</si>
  <si>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</si>
  <si>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</si>
  <si>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</si>
  <si>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</si>
  <si>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</si>
  <si>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</si>
  <si>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</si>
  <si>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</si>
  <si>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</si>
  <si>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</si>
  <si>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</si>
  <si>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</si>
  <si>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</si>
  <si>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</si>
  <si>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</si>
  <si>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</si>
  <si>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</si>
  <si>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</si>
  <si>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</si>
  <si>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</si>
  <si>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</si>
  <si>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</si>
  <si>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</si>
  <si>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</si>
  <si>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</si>
  <si>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</si>
  <si>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</si>
  <si>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</si>
  <si>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</si>
  <si>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</si>
  <si>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</si>
  <si>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</si>
  <si>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</si>
  <si>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</si>
  <si>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</si>
  <si>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</si>
  <si>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</si>
  <si>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</si>
  <si>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</si>
  <si>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</si>
  <si>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</si>
  <si>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</si>
  <si>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</si>
  <si>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</si>
  <si>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</si>
  <si>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</si>
  <si>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</si>
  <si>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</si>
  <si>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</si>
  <si>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</si>
  <si>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</si>
  <si>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</si>
  <si>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</si>
  <si>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</si>
  <si>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</si>
  <si>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</si>
  <si>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</si>
  <si>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</si>
  <si>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</si>
  <si>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</si>
  <si>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</si>
  <si>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</si>
  <si>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</si>
  <si>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</si>
  <si>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</si>
  <si>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</si>
  <si>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</si>
  <si>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</si>
  <si>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</si>
  <si>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</si>
  <si>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</si>
  <si>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</si>
  <si>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</si>
  <si>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</si>
  <si>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</si>
  <si>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</si>
  <si>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</si>
  <si>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</si>
  <si>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</si>
  <si>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</si>
  <si>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</si>
  <si>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</si>
  <si>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</si>
  <si>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</si>
  <si>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</si>
  <si>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</si>
  <si>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</si>
  <si>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</si>
  <si>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</si>
  <si>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</si>
  <si>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</si>
  <si>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</si>
  <si>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</si>
  <si>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</si>
  <si>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</si>
  <si>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</si>
  <si>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</si>
  <si>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</si>
  <si>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</si>
  <si>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</si>
  <si>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</si>
  <si>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</si>
  <si>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</si>
  <si>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</si>
  <si>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</si>
  <si>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</si>
  <si>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</si>
  <si>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</si>
  <si>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</si>
  <si>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</si>
  <si>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</si>
  <si>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</si>
  <si>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</si>
  <si>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</si>
  <si>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</si>
  <si>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</si>
  <si>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</si>
  <si>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</si>
  <si>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</si>
  <si>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</si>
  <si>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</si>
  <si>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</si>
  <si>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</si>
  <si>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</si>
  <si>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</si>
  <si>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</si>
  <si>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</si>
  <si>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</si>
  <si>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</si>
  <si>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</si>
  <si>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</si>
  <si>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</si>
  <si>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</si>
  <si>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</si>
  <si>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</si>
  <si>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</si>
  <si>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</si>
  <si>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</si>
  <si>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</si>
  <si>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</si>
  <si>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</si>
  <si>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</si>
  <si>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</si>
  <si>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</si>
  <si>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</si>
  <si>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</si>
  <si>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</si>
  <si>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</si>
  <si>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</si>
  <si>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</si>
  <si>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</si>
  <si>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</si>
  <si>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</si>
  <si>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</si>
  <si>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</si>
  <si>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</si>
  <si>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</si>
  <si>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</si>
  <si>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</si>
  <si>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</si>
  <si>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</si>
  <si>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</si>
  <si>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</si>
  <si>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</si>
  <si>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</si>
  <si>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</si>
  <si>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</si>
  <si>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</si>
  <si>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</si>
  <si>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</si>
  <si>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</si>
  <si>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</si>
  <si>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</si>
  <si>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</si>
  <si>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</si>
  <si>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</si>
  <si>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</si>
  <si>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</si>
  <si>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</si>
  <si>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</si>
  <si>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</si>
  <si>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</si>
  <si>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</si>
  <si>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</si>
  <si>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</si>
  <si>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</si>
  <si>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</si>
  <si>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</si>
  <si>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</si>
  <si>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</si>
  <si>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</si>
  <si>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</si>
  <si>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</si>
  <si>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</si>
  <si>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</si>
  <si>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</si>
  <si>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</si>
  <si>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</si>
  <si>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</si>
  <si>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</si>
  <si>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</si>
  <si>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</si>
  <si>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</si>
  <si>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</si>
  <si>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</si>
  <si>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</si>
  <si>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</si>
  <si>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</si>
  <si>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</si>
  <si>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</si>
  <si>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</si>
  <si>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</si>
  <si>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</si>
  <si>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</si>
  <si>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</si>
  <si>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</si>
  <si>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</si>
  <si>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</si>
  <si>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</si>
  <si>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</si>
  <si>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</si>
  <si>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</si>
  <si>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</si>
  <si>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</si>
  <si>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</si>
  <si>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</si>
  <si>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</si>
  <si>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</si>
  <si>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</si>
  <si>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</si>
  <si>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</si>
  <si>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</si>
  <si>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</si>
  <si>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</si>
  <si>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</si>
  <si>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</si>
  <si>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</si>
  <si>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</si>
  <si>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</si>
  <si>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</si>
  <si>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</si>
  <si>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</si>
  <si>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</si>
  <si>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</si>
  <si>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</si>
  <si>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</si>
  <si>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</si>
  <si>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</si>
  <si>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</si>
  <si>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</si>
  <si>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</si>
  <si>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</si>
  <si>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</si>
  <si>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</si>
  <si>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</si>
  <si>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</si>
  <si>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</si>
  <si>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</si>
  <si>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</si>
  <si>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</si>
  <si>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</si>
  <si>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</si>
  <si>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</si>
  <si>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</si>
  <si>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</si>
  <si>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</si>
  <si>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</si>
  <si>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</si>
  <si>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</si>
  <si>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</si>
  <si>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</si>
  <si>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</si>
  <si>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</si>
  <si>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</si>
  <si>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</si>
  <si>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</si>
  <si>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</si>
  <si>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</si>
  <si>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</si>
  <si>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</si>
  <si>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</si>
  <si>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</si>
  <si>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</si>
  <si>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</si>
  <si>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</si>
  <si>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</si>
  <si>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</si>
  <si>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</si>
  <si>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</si>
  <si>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</si>
  <si>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</si>
  <si>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</si>
  <si>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</si>
  <si>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</si>
  <si>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</si>
  <si>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</si>
  <si>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</si>
  <si>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</si>
  <si>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</si>
  <si>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</si>
  <si>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</si>
  <si>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</si>
  <si>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</si>
  <si>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</si>
  <si>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</si>
  <si>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</si>
  <si>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</si>
  <si>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</si>
  <si>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</si>
  <si>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</si>
  <si>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</si>
  <si>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</si>
  <si>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</si>
  <si>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</si>
  <si>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</si>
  <si>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</si>
  <si>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</si>
  <si>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</si>
  <si>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</si>
  <si>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</si>
  <si>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</si>
  <si>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</si>
  <si>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</si>
  <si>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</si>
  <si>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</si>
  <si>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</si>
  <si>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</si>
  <si>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</si>
  <si>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</si>
  <si>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</si>
  <si>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</si>
  <si>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</si>
  <si>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</si>
  <si>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</si>
  <si>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</si>
  <si>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</si>
  <si>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</si>
  <si>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</si>
  <si>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</si>
  <si>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</si>
  <si>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</si>
  <si>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</si>
  <si>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</si>
  <si>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</si>
  <si>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</si>
  <si>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</si>
  <si>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</si>
  <si>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</si>
  <si>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</si>
  <si>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</si>
  <si>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</si>
  <si>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</si>
  <si>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</si>
  <si>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</si>
  <si>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</si>
  <si>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</si>
  <si>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</si>
  <si>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</si>
  <si>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</si>
  <si>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</si>
  <si>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</si>
  <si>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</si>
  <si>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</si>
  <si>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</si>
  <si>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</si>
  <si>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</si>
  <si>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</si>
  <si>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</si>
  <si>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</si>
  <si>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</si>
  <si>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</si>
  <si>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</si>
  <si>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</si>
  <si>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</si>
  <si>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</si>
  <si>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</si>
  <si>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</si>
  <si>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</si>
  <si>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</si>
  <si>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</si>
  <si>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</si>
  <si>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</si>
  <si>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</si>
  <si>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</si>
  <si>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</si>
  <si>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</si>
  <si>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</si>
  <si>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</si>
  <si>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</si>
  <si>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</si>
  <si>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</si>
  <si>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</si>
  <si>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</si>
  <si>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</si>
  <si>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</si>
  <si>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</si>
  <si>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</si>
  <si>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</si>
  <si>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</si>
  <si>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</si>
  <si>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</si>
  <si>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</si>
  <si>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</si>
  <si>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</si>
  <si>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</si>
  <si>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</si>
  <si>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</si>
  <si>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</si>
  <si>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</si>
  <si>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</si>
  <si>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</si>
  <si>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</si>
  <si>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</si>
  <si>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</si>
  <si>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</si>
  <si>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</si>
  <si>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</si>
  <si>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</si>
  <si>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</si>
  <si>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</si>
  <si>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</si>
  <si>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</si>
  <si>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</si>
  <si>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</si>
  <si>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</si>
  <si>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</si>
  <si>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</si>
  <si>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</si>
  <si>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</si>
  <si>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</si>
  <si>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</si>
  <si>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</si>
  <si>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</si>
  <si>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</si>
  <si>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</si>
  <si>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</si>
  <si>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</si>
  <si>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</si>
  <si>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</si>
  <si>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</si>
  <si>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</si>
  <si>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</si>
  <si>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</si>
  <si>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</si>
  <si>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</si>
  <si>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</si>
  <si>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</si>
  <si>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</si>
  <si>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</si>
  <si>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</si>
  <si>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</si>
  <si>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</si>
  <si>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</si>
  <si>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</si>
  <si>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</si>
  <si>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</si>
  <si>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</si>
  <si>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</si>
  <si>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</si>
  <si>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</si>
  <si>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</si>
  <si>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</si>
  <si>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</si>
  <si>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</si>
  <si>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</si>
  <si>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</si>
  <si>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</si>
  <si>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</si>
  <si>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</si>
  <si>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</si>
  <si>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</si>
  <si>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</si>
  <si>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</si>
  <si>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</si>
  <si>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</si>
  <si>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</si>
  <si>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</si>
  <si>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</si>
  <si>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</si>
  <si>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</si>
  <si>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</si>
  <si>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</si>
  <si>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</si>
  <si>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</si>
  <si>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</si>
  <si>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</si>
  <si>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</si>
  <si>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</si>
  <si>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</si>
  <si>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</si>
  <si>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</si>
  <si>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</si>
  <si>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</si>
  <si>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</si>
  <si>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</si>
  <si>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</si>
  <si>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</si>
  <si>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</si>
  <si>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</si>
  <si>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</si>
  <si>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</si>
  <si>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</si>
  <si>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</si>
  <si>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</si>
  <si>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</si>
  <si>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</si>
  <si>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</si>
  <si>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</si>
  <si>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</si>
  <si>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</si>
  <si>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</si>
  <si>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</si>
  <si>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</si>
  <si>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</si>
  <si>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</si>
  <si>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</si>
  <si>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</si>
  <si>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</si>
  <si>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</si>
  <si>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</si>
  <si>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</si>
  <si>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</si>
  <si>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</si>
  <si>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</si>
  <si>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</si>
  <si>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</si>
  <si>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</si>
  <si>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</si>
  <si>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</si>
  <si>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</si>
  <si>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</si>
  <si>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</si>
  <si>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</si>
  <si>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</si>
  <si>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</si>
  <si>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</si>
  <si>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</si>
  <si>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</si>
  <si>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</si>
  <si>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</si>
  <si>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</si>
  <si>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</si>
  <si>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</si>
  <si>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</si>
  <si>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</si>
  <si>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</si>
  <si>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</si>
  <si>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</si>
  <si>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</si>
  <si>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</si>
  <si>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</si>
  <si>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</si>
  <si>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</si>
  <si>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</si>
  <si>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</si>
  <si>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</si>
  <si>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</si>
  <si>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</si>
  <si>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</si>
  <si>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</si>
  <si>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</si>
  <si>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</si>
  <si>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</si>
  <si>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</si>
  <si>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</si>
  <si>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</si>
  <si>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</si>
  <si>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</si>
  <si>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</si>
  <si>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</si>
  <si>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</si>
  <si>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</si>
  <si>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</si>
  <si>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</si>
  <si>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</si>
  <si>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</si>
  <si>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</si>
  <si>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</si>
  <si>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</si>
  <si>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</si>
  <si>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</si>
  <si>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</si>
  <si>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</si>
  <si>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</si>
  <si>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</si>
  <si>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</si>
  <si>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</si>
  <si>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</si>
  <si>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</si>
  <si>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</si>
  <si>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</si>
  <si>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</si>
  <si>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</si>
  <si>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</si>
  <si>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</si>
  <si>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</si>
  <si>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</si>
  <si>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</si>
  <si>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</si>
  <si>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</si>
  <si>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</si>
  <si>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</si>
  <si>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</si>
  <si>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</si>
  <si>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</si>
  <si>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</si>
  <si>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</si>
  <si>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</si>
  <si>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</si>
  <si>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</si>
  <si>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</si>
  <si>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</si>
  <si>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</si>
  <si>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</si>
  <si>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</si>
  <si>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</si>
  <si>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</si>
  <si>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</si>
  <si>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</si>
  <si>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</si>
  <si>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</si>
  <si>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</si>
  <si>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</si>
  <si>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</si>
  <si>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</si>
  <si>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</si>
  <si>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</si>
  <si>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</si>
  <si>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</si>
  <si>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</si>
  <si>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</si>
  <si>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</si>
  <si>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</si>
  <si>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</si>
  <si>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</si>
  <si>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</si>
  <si>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</si>
  <si>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</si>
  <si>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</si>
  <si>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</si>
  <si>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</si>
  <si>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</si>
  <si>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</si>
  <si>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</si>
  <si>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</si>
  <si>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</si>
  <si>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</si>
  <si>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</si>
  <si>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</si>
  <si>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</si>
  <si>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</si>
  <si>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</si>
  <si>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</si>
  <si>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</si>
  <si>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</si>
  <si>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</si>
  <si>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</si>
  <si>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</si>
  <si>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</si>
  <si>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</si>
  <si>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</si>
  <si>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</si>
  <si>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</si>
  <si>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</si>
  <si>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</si>
  <si>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</si>
  <si>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</si>
  <si>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</si>
  <si>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</si>
  <si>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</si>
  <si>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</si>
  <si>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</si>
  <si>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</si>
  <si>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</si>
  <si>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</si>
  <si>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</si>
  <si>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</si>
  <si>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</si>
  <si>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</si>
  <si>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</si>
  <si>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</si>
  <si>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</si>
  <si>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</si>
  <si>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</si>
  <si>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</si>
  <si>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</si>
  <si>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</si>
  <si>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</si>
  <si>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</si>
  <si>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</si>
  <si>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</si>
  <si>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</si>
  <si>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</si>
  <si>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</si>
  <si>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</si>
  <si>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</si>
  <si>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</si>
  <si>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</si>
  <si>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</si>
  <si>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</si>
  <si>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</si>
  <si>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</si>
  <si>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</si>
  <si>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</si>
  <si>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</si>
  <si>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</si>
  <si>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</si>
  <si>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</si>
  <si>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</si>
  <si>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</si>
  <si>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</si>
  <si>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</si>
  <si>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</si>
  <si>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</si>
  <si>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</si>
  <si>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</si>
  <si>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</si>
  <si>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</si>
  <si>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</si>
  <si>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</si>
  <si>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</si>
  <si>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</si>
  <si>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</si>
  <si>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</si>
  <si>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</si>
  <si>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</si>
  <si>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</si>
  <si>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</si>
  <si>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</si>
  <si>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</si>
  <si>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</si>
  <si>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</si>
  <si>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</si>
  <si>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</si>
  <si>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</si>
  <si>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</si>
  <si>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</si>
  <si>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</si>
  <si>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</si>
  <si>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</si>
  <si>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</si>
  <si>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</si>
  <si>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</si>
  <si>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</si>
  <si>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</si>
  <si>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</si>
  <si>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</si>
  <si>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</si>
  <si>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</si>
  <si>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</si>
  <si>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</si>
  <si>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</si>
  <si>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</si>
  <si>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</si>
  <si>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</si>
  <si>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</si>
  <si>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</si>
  <si>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</si>
  <si>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</si>
  <si>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</si>
  <si>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</si>
  <si>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</si>
  <si>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</si>
  <si>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</si>
  <si>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</si>
  <si>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</si>
  <si>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</si>
  <si>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</si>
  <si>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</si>
  <si>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</si>
  <si>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</si>
  <si>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</si>
  <si>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</si>
  <si>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</si>
  <si>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</si>
  <si>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</si>
  <si>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</si>
  <si>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</si>
  <si>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</si>
  <si>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</si>
  <si>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</si>
  <si>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</si>
  <si>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</si>
  <si>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</si>
  <si>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</si>
  <si>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</si>
  <si>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</si>
  <si>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</si>
  <si>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</si>
  <si>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</si>
  <si>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</si>
  <si>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</si>
  <si>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</si>
  <si>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</si>
  <si>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</si>
  <si>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</si>
  <si>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</si>
  <si>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</si>
  <si>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</si>
  <si>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</si>
  <si>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</si>
  <si>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</si>
  <si>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</si>
  <si>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</si>
  <si>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</si>
  <si>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</si>
  <si>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</si>
  <si>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</si>
  <si>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</si>
  <si>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</si>
  <si>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</si>
  <si>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</si>
  <si>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</si>
  <si>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</si>
  <si>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</si>
  <si>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</si>
  <si>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</si>
  <si>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</si>
  <si>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</si>
  <si>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</si>
  <si>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</si>
  <si>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</si>
  <si>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</si>
  <si>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</si>
  <si>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</si>
  <si>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</si>
  <si>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</si>
  <si>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</si>
  <si>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</si>
  <si>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</si>
  <si>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</si>
  <si>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</si>
  <si>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</si>
  <si>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</si>
  <si>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</si>
  <si>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</si>
  <si>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</si>
  <si>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</si>
  <si>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</si>
  <si>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</si>
  <si>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</si>
  <si>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</si>
  <si>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</si>
  <si>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</si>
  <si>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</si>
  <si>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</si>
  <si>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</si>
  <si>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</si>
  <si>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</si>
  <si>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</si>
  <si>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</si>
  <si>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</si>
  <si>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</si>
  <si>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</si>
  <si>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</si>
  <si>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</si>
  <si>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</si>
  <si>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</si>
  <si>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</si>
  <si>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</si>
  <si>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</si>
  <si>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</si>
  <si>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</si>
  <si>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</si>
  <si>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</si>
  <si>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</si>
  <si>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</si>
  <si>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</si>
  <si>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</si>
  <si>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</si>
  <si>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</si>
  <si>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</si>
  <si>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</si>
  <si>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</si>
  <si>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</si>
  <si>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</si>
  <si>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</si>
  <si>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</si>
  <si>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</si>
  <si>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</si>
  <si>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</si>
  <si>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</si>
  <si>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</si>
  <si>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</si>
  <si>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</si>
  <si>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</si>
  <si>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</si>
  <si>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</si>
  <si>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</si>
  <si>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</si>
  <si>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</si>
  <si>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</si>
  <si>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</si>
  <si>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</si>
  <si>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</si>
  <si>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</si>
  <si>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</si>
  <si>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</si>
  <si>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</si>
  <si>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</si>
  <si>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</si>
  <si>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</si>
  <si>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</si>
  <si>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</si>
  <si>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</si>
  <si>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</si>
  <si>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</si>
  <si>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</si>
  <si>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</si>
  <si>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</si>
  <si>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</si>
  <si>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</si>
  <si>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</si>
  <si>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</si>
  <si>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</si>
  <si>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</si>
  <si>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</si>
  <si>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</si>
  <si>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</si>
  <si>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</si>
  <si>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</si>
  <si>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</si>
  <si>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</si>
  <si>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</si>
  <si>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</si>
  <si>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</si>
  <si>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</si>
  <si>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</si>
  <si>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</si>
  <si>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</si>
  <si>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</si>
  <si>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</si>
  <si>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</si>
  <si>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</si>
  <si>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</si>
  <si>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</si>
  <si>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</si>
  <si>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</si>
  <si>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</si>
  <si>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</si>
  <si>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</si>
  <si>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</si>
  <si>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</si>
  <si>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</si>
  <si>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</si>
  <si>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</si>
  <si>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</si>
  <si>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</si>
  <si>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</si>
  <si>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</si>
  <si>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</si>
  <si>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</si>
  <si>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</si>
  <si>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</si>
  <si>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</si>
  <si>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</si>
  <si>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</si>
  <si>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</si>
  <si>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</si>
  <si>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</si>
  <si>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</si>
  <si>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</si>
  <si>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</si>
  <si>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</si>
  <si>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</si>
  <si>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</si>
  <si>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</si>
  <si>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</si>
  <si>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</si>
  <si>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</si>
  <si>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</si>
  <si>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</si>
  <si>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</si>
  <si>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</si>
  <si>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</si>
  <si>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</si>
  <si>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</si>
  <si>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</si>
  <si>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</si>
  <si>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</si>
  <si>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</si>
  <si>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</si>
  <si>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</si>
  <si>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</si>
  <si>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</si>
  <si>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</si>
  <si>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</si>
  <si>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</si>
  <si>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</si>
  <si>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</si>
  <si>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</si>
  <si>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</si>
  <si>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</si>
  <si>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</si>
  <si>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</si>
  <si>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</si>
  <si>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</si>
  <si>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</si>
  <si>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</si>
  <si>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</si>
  <si>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</si>
  <si>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</si>
  <si>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</si>
  <si>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</si>
  <si>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</si>
  <si>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</si>
  <si>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</si>
  <si>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</si>
  <si>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</si>
  <si>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</si>
  <si>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</si>
  <si>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</si>
  <si>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</si>
  <si>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</si>
  <si>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</si>
  <si>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</si>
  <si>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</si>
  <si>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</si>
  <si>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</si>
  <si>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</si>
  <si>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</si>
  <si>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</si>
  <si>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</si>
  <si>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</si>
  <si>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</si>
  <si>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</si>
  <si>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</si>
  <si>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</si>
  <si>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</si>
  <si>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</si>
  <si>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</si>
  <si>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</si>
  <si>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</si>
  <si>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</si>
  <si>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</si>
  <si>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</si>
  <si>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</si>
  <si>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</si>
  <si>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</si>
  <si>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</si>
  <si>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</si>
  <si>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</si>
  <si>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</si>
  <si>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</si>
  <si>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</si>
  <si>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</si>
  <si>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</si>
  <si>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</si>
  <si>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</si>
  <si>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</si>
  <si>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</si>
  <si>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</si>
  <si>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</si>
  <si>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</si>
  <si>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</si>
  <si>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</si>
  <si>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</si>
  <si>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</si>
  <si>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</si>
  <si>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</si>
  <si>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</si>
  <si>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</si>
  <si>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</si>
  <si>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</si>
  <si>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</si>
  <si>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</si>
  <si>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</si>
  <si>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</si>
  <si>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</si>
  <si>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</si>
  <si>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</si>
  <si>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</si>
  <si>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</si>
  <si>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</si>
  <si>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</si>
  <si>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</si>
  <si>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</si>
  <si>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</si>
  <si>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</si>
  <si>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</si>
  <si>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</si>
  <si>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</si>
  <si>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</si>
  <si>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</si>
  <si>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</si>
  <si>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</si>
  <si>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</si>
  <si>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</si>
  <si>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</si>
  <si>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</si>
  <si>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</si>
  <si>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</si>
  <si>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</si>
  <si>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</si>
  <si>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</si>
  <si>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</si>
  <si>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</si>
  <si>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</si>
  <si>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</si>
  <si>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</si>
  <si>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</si>
  <si>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</si>
  <si>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</si>
  <si>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</si>
  <si>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</si>
  <si>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</si>
  <si>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</si>
  <si>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</si>
  <si>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</si>
  <si>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</si>
  <si>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</si>
  <si>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</si>
  <si>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</si>
  <si>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</si>
  <si>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</si>
  <si>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</si>
  <si>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</si>
  <si>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</si>
  <si>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</si>
  <si>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</si>
  <si>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</si>
  <si>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</si>
  <si>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</si>
  <si>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</si>
  <si>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</si>
  <si>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</si>
  <si>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</si>
  <si>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</si>
  <si>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</si>
  <si>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</si>
  <si>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</si>
  <si>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</si>
  <si>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</si>
  <si>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</si>
  <si>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</si>
  <si>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</si>
  <si>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</si>
  <si>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</si>
  <si>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</si>
  <si>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</si>
  <si>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</si>
  <si>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</si>
  <si>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</si>
  <si>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</si>
  <si>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</si>
  <si>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</si>
  <si>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</si>
  <si>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</si>
  <si>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</si>
  <si>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</si>
  <si>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</si>
  <si>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</si>
  <si>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</si>
  <si>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</si>
  <si>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</si>
  <si>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</si>
  <si>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</si>
  <si>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</si>
  <si>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</si>
  <si>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</si>
  <si>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</si>
  <si>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</si>
  <si>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</si>
  <si>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</si>
  <si>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</si>
  <si>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</si>
  <si>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</si>
  <si>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</si>
  <si>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</si>
  <si>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</si>
  <si>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</si>
  <si>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</si>
  <si>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</si>
  <si>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</si>
  <si>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</si>
  <si>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</si>
  <si>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</si>
  <si>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</si>
  <si>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</si>
  <si>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</si>
  <si>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</si>
  <si>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</si>
  <si>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</si>
  <si>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</si>
  <si>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</si>
  <si>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</si>
  <si>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</si>
  <si>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</si>
  <si>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</si>
  <si>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</si>
  <si>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</si>
  <si>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</si>
  <si>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</si>
  <si>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</si>
  <si>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</si>
  <si>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</si>
  <si>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</si>
  <si>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</si>
  <si>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</si>
  <si>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</si>
  <si>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</si>
  <si>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</si>
  <si>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</si>
  <si>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</si>
  <si>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</si>
  <si>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</si>
  <si>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</si>
  <si>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</si>
  <si>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</si>
  <si>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</si>
  <si>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</si>
  <si>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</si>
  <si>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</si>
  <si>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</si>
  <si>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</si>
  <si>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</si>
  <si>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</si>
  <si>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</si>
  <si>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</si>
  <si>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</si>
  <si>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</si>
  <si>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</si>
  <si>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</si>
  <si>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</si>
  <si>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</si>
  <si>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</si>
  <si>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</si>
  <si>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</si>
  <si>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</si>
  <si>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</si>
  <si>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</si>
  <si>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</si>
  <si>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</si>
  <si>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</si>
  <si>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</si>
  <si>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</si>
  <si>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</si>
  <si>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</si>
  <si>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</si>
  <si>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</si>
  <si>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</si>
  <si>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</si>
  <si>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</si>
  <si>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</si>
  <si>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</si>
  <si>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</si>
  <si>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</si>
  <si>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</si>
  <si>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</si>
  <si>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</si>
  <si>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</si>
  <si>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</si>
  <si>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</si>
  <si>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</si>
  <si>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</si>
  <si>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</si>
  <si>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</si>
  <si>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</si>
  <si>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</si>
  <si>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</si>
  <si>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</si>
  <si>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</si>
  <si>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</si>
  <si>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</si>
  <si>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</si>
  <si>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</si>
  <si>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</si>
  <si>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</si>
  <si>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</si>
  <si>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</si>
  <si>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</si>
  <si>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</si>
  <si>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</si>
  <si>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</si>
  <si>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</si>
  <si>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</si>
  <si>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</si>
  <si>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</si>
  <si>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</si>
  <si>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</si>
  <si>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</si>
  <si>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</si>
  <si>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</si>
  <si>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</si>
  <si>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</si>
  <si>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</si>
  <si>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</si>
  <si>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</si>
  <si>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</si>
  <si>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</si>
  <si>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</si>
  <si>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</si>
  <si>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</si>
  <si>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</si>
  <si>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</si>
  <si>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</si>
  <si>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</si>
  <si>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</si>
  <si>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</si>
  <si>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</si>
  <si>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</si>
  <si>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</si>
  <si>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</si>
  <si>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</si>
  <si>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</si>
  <si>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</si>
  <si>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</si>
  <si>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</si>
  <si>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</si>
  <si>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</si>
  <si>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</si>
  <si>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</si>
  <si>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</si>
  <si>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</si>
  <si>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</si>
  <si>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</si>
  <si>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</si>
  <si>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</si>
  <si>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</si>
  <si>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</si>
  <si>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</si>
  <si>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</si>
  <si>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</si>
  <si>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</si>
  <si>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</si>
  <si>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</si>
  <si>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</si>
  <si>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</si>
  <si>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</si>
  <si>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</si>
  <si>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</si>
  <si>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</si>
  <si>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</si>
  <si>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</si>
  <si>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</si>
  <si>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</si>
  <si>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</si>
  <si>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</si>
  <si>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</si>
  <si>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</si>
  <si>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</si>
  <si>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</si>
  <si>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</si>
  <si>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</si>
  <si>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</si>
  <si>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</si>
  <si>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</si>
  <si>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</si>
  <si>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</si>
  <si>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</si>
  <si>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</si>
  <si>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</si>
  <si>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</si>
  <si>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</si>
  <si>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</si>
  <si>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</si>
  <si>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</si>
  <si>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</si>
  <si>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</si>
  <si>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</si>
  <si>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</si>
  <si>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</si>
  <si>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</si>
  <si>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</si>
  <si>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</si>
  <si>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</si>
  <si>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</si>
  <si>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</si>
  <si>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</si>
  <si>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</si>
  <si>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</si>
  <si>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</si>
  <si>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</si>
  <si>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</si>
  <si>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</si>
  <si>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</si>
  <si>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</si>
  <si>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</si>
  <si>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</si>
  <si>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</si>
  <si>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</si>
  <si>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</si>
  <si>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</si>
  <si>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</si>
  <si>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</si>
  <si>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</si>
  <si>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</si>
  <si>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</si>
  <si>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</si>
  <si>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</si>
  <si>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</si>
  <si>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</si>
  <si>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</si>
  <si>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</si>
  <si>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</si>
  <si>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</si>
  <si>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</si>
  <si>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</si>
  <si>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</si>
  <si>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</si>
  <si>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</si>
  <si>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</si>
  <si>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</si>
  <si>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</si>
  <si>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</si>
  <si>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</si>
  <si>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</si>
  <si>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</si>
  <si>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</si>
  <si>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</si>
  <si>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</si>
  <si>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</si>
  <si>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</si>
  <si>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</si>
  <si>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</si>
  <si>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</si>
  <si>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</si>
  <si>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</si>
  <si>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</si>
  <si>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</si>
  <si>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</si>
  <si>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</si>
  <si>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</si>
  <si>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</si>
  <si>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</si>
  <si>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</si>
  <si>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</si>
  <si>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</si>
  <si>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</si>
  <si>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</si>
  <si>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</si>
  <si>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</si>
  <si>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</si>
  <si>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</si>
  <si>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</si>
  <si>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</si>
  <si>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</si>
  <si>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</si>
  <si>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</si>
  <si>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</si>
  <si>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</si>
  <si>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</si>
  <si>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</si>
  <si>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</si>
  <si>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</si>
  <si>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</si>
  <si>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</si>
  <si>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</si>
  <si>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</si>
  <si>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</si>
  <si>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</si>
  <si>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</si>
  <si>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</si>
  <si>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</si>
  <si>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</si>
  <si>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</si>
  <si>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</si>
  <si>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</si>
  <si>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</si>
  <si>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</si>
  <si>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</si>
  <si>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</si>
  <si>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</si>
  <si>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</si>
  <si>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</si>
  <si>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</si>
  <si>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</si>
  <si>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</si>
  <si>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</si>
  <si>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</si>
  <si>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</si>
  <si>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</si>
  <si>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</si>
  <si>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</si>
  <si>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</si>
  <si>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</si>
  <si>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</si>
  <si>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</si>
  <si>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</si>
  <si>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</si>
  <si>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</si>
  <si>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</si>
  <si>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</si>
  <si>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</si>
  <si>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</si>
  <si>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</si>
  <si>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</si>
  <si>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</si>
  <si>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</si>
  <si>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</si>
  <si>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</si>
  <si>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</si>
  <si>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</si>
  <si>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</si>
  <si>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</si>
  <si>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</si>
  <si>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</si>
  <si>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</si>
  <si>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</si>
  <si>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</si>
  <si>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</si>
  <si>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</si>
  <si>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</si>
  <si>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</si>
  <si>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</si>
  <si>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</si>
  <si>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</si>
  <si>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</si>
  <si>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</si>
  <si>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</si>
  <si>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</si>
  <si>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</si>
  <si>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</si>
  <si>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</si>
  <si>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</si>
  <si>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</si>
  <si>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</si>
  <si>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</si>
  <si>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</si>
  <si>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</si>
  <si>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</si>
  <si>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</si>
  <si>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</si>
  <si>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</si>
  <si>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</si>
  <si>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</si>
  <si>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</si>
  <si>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</si>
  <si>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</si>
  <si>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</si>
  <si>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</si>
  <si>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</si>
  <si>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</si>
  <si>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</si>
  <si>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</si>
  <si>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</si>
  <si>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</si>
  <si>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</si>
  <si>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</si>
  <si>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</si>
  <si>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</si>
  <si>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</si>
  <si>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</si>
  <si>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</si>
  <si>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</si>
  <si>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</si>
  <si>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</si>
  <si>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</si>
  <si>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</si>
  <si>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</si>
  <si>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</si>
  <si>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</si>
  <si>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</si>
  <si>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</si>
  <si>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</si>
  <si>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</si>
  <si>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</si>
  <si>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</si>
  <si>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</si>
  <si>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</si>
  <si>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</si>
  <si>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</si>
  <si>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</si>
  <si>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</si>
  <si>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</si>
  <si>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</si>
  <si>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</si>
  <si>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</si>
  <si>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</si>
  <si>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</si>
  <si>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</si>
  <si>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</si>
  <si>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</si>
  <si>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</si>
  <si>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</si>
  <si>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</si>
  <si>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</si>
  <si>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</si>
  <si>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</si>
  <si>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</si>
  <si>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</si>
  <si>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</si>
  <si>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</si>
  <si>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</si>
  <si>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</si>
  <si>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</si>
  <si>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</si>
  <si>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</si>
  <si>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</si>
  <si>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</si>
  <si>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</si>
  <si>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</si>
  <si>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</si>
  <si>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</si>
  <si>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</si>
  <si>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</si>
  <si>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</si>
  <si>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</si>
  <si>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</si>
  <si>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</si>
  <si>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</si>
  <si>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</si>
  <si>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</si>
  <si>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</si>
  <si>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</si>
  <si>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</si>
  <si>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</si>
  <si>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</si>
  <si>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</si>
  <si>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</si>
  <si>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</si>
  <si>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</si>
  <si>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</si>
  <si>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</si>
  <si>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</si>
  <si>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</si>
  <si>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</si>
  <si>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</si>
  <si>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</si>
  <si>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</si>
  <si>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</si>
  <si>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</si>
  <si>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</si>
  <si>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</si>
  <si>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</si>
  <si>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</si>
  <si>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</si>
  <si>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</si>
  <si>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</si>
  <si>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</si>
  <si>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</si>
  <si>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</si>
  <si>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</si>
  <si>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</si>
  <si>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</si>
  <si>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</si>
  <si>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</si>
  <si>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</si>
  <si>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</si>
  <si>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</si>
  <si>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</si>
  <si>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</si>
  <si>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</si>
  <si>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</si>
  <si>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</si>
  <si>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</si>
  <si>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</si>
  <si>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</si>
  <si>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</si>
  <si>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</si>
  <si>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</si>
  <si>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</si>
  <si>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</si>
  <si>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</si>
  <si>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</si>
  <si>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</si>
  <si>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</si>
  <si>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</si>
  <si>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</si>
  <si>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</si>
  <si>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</si>
  <si>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</si>
  <si>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</si>
  <si>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</si>
  <si>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</si>
  <si>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</si>
  <si>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</si>
  <si>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</si>
  <si>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</si>
  <si>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</si>
  <si>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</si>
  <si>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</si>
  <si>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</si>
  <si>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</si>
  <si>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</si>
  <si>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</si>
  <si>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</si>
  <si>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</si>
  <si>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</si>
  <si>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</si>
  <si>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</si>
  <si>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</si>
  <si>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</si>
  <si>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</si>
  <si>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</si>
  <si>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</si>
  <si>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</si>
  <si>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</si>
  <si>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</si>
  <si>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</si>
  <si>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</si>
  <si>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</si>
  <si>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</si>
  <si>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</si>
  <si>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</si>
  <si>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</si>
  <si>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</si>
  <si>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</si>
  <si>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</si>
  <si>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</si>
  <si>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</si>
  <si>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</si>
  <si>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</si>
  <si>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</si>
  <si>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</si>
  <si>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</si>
  <si>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</si>
  <si>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</si>
  <si>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</si>
  <si>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</si>
  <si>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</si>
  <si>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</si>
  <si>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</si>
  <si>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</si>
  <si>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</si>
  <si>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</si>
  <si>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</si>
  <si>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</si>
  <si>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</si>
  <si>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</si>
  <si>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</si>
  <si>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</si>
  <si>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</si>
  <si>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</si>
  <si>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</si>
  <si>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</si>
  <si>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</si>
  <si>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</si>
  <si>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</si>
  <si>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</si>
  <si>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</si>
  <si>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</si>
  <si>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</si>
  <si>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</si>
  <si>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</si>
  <si>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</si>
  <si>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</si>
  <si>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</si>
  <si>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</si>
  <si>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</si>
  <si>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</si>
  <si>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</si>
  <si>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</si>
  <si>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</si>
  <si>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</si>
  <si>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</si>
  <si>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</si>
  <si>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</si>
  <si>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</si>
  <si>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</si>
  <si>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</si>
  <si>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</si>
  <si>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</si>
  <si>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</si>
  <si>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</si>
  <si>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</si>
  <si>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</si>
  <si>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</si>
  <si>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</si>
  <si>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</si>
  <si>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</si>
  <si>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</si>
  <si>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</si>
  <si>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</si>
  <si>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</si>
  <si>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</si>
  <si>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</si>
  <si>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</si>
  <si>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</si>
  <si>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</si>
  <si>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</si>
  <si>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</si>
  <si>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</si>
  <si>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</si>
  <si>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</si>
  <si>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</si>
  <si>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</si>
  <si>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</si>
  <si>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</si>
  <si>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</si>
  <si>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</si>
  <si>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</si>
  <si>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</si>
  <si>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</si>
  <si>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</si>
  <si>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</si>
  <si>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</si>
  <si>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</si>
  <si>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</si>
  <si>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</si>
  <si>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</si>
  <si>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</si>
  <si>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</si>
  <si>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</si>
  <si>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</si>
  <si>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</si>
  <si>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</si>
  <si>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</si>
  <si>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</si>
  <si>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</si>
  <si>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</si>
  <si>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</si>
  <si>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</si>
  <si>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</si>
  <si>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</si>
  <si>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</si>
  <si>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</si>
  <si>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</si>
  <si>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</si>
  <si>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</si>
  <si>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</si>
  <si>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</si>
  <si>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</si>
  <si>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</si>
  <si>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</si>
  <si>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</si>
  <si>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</si>
  <si>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</si>
  <si>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</si>
  <si>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</si>
  <si>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</si>
  <si>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</si>
  <si>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</si>
  <si>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</si>
  <si>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</si>
  <si>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</si>
  <si>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</si>
  <si>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</si>
  <si>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</si>
  <si>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</si>
  <si>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</si>
  <si>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</si>
  <si>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</si>
  <si>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</si>
  <si>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</si>
  <si>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</si>
  <si>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</si>
  <si>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</si>
  <si>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</si>
  <si>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</si>
  <si>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</si>
  <si>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</si>
  <si>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</si>
  <si>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</si>
  <si>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</si>
  <si>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</si>
  <si>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</si>
  <si>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</si>
  <si>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</si>
  <si>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</si>
  <si>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</si>
  <si>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</si>
  <si>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</si>
  <si>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</si>
  <si>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</si>
  <si>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</si>
  <si>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</si>
  <si>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</si>
  <si>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</si>
  <si>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</si>
  <si>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</si>
  <si>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</si>
  <si>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</si>
  <si>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</si>
  <si>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</si>
  <si>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</si>
  <si>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</si>
  <si>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</si>
  <si>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</si>
  <si>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</si>
  <si>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</si>
  <si>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</si>
  <si>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</si>
  <si>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</si>
  <si>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</si>
  <si>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</si>
  <si>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</si>
  <si>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</si>
  <si>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</si>
  <si>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</si>
  <si>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</si>
  <si>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</si>
  <si>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</si>
  <si>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</si>
  <si>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</si>
  <si>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</si>
  <si>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</si>
  <si>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</si>
  <si>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</si>
  <si>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</si>
  <si>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</si>
  <si>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</si>
  <si>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</si>
  <si>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</si>
  <si>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</si>
  <si>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</si>
  <si>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</si>
  <si>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</si>
  <si>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</si>
  <si>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</si>
  <si>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</si>
  <si>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</si>
  <si>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</si>
  <si>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</si>
  <si>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</si>
  <si>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</si>
  <si>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</si>
  <si>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</si>
  <si>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</si>
  <si>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</si>
  <si>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</si>
  <si>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</si>
  <si>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</si>
  <si>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</si>
  <si>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</si>
  <si>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</si>
  <si>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</si>
  <si>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</si>
  <si>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</si>
  <si>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</si>
  <si>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</si>
  <si>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</si>
  <si>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</si>
  <si>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</si>
  <si>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</si>
  <si>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</si>
  <si>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</si>
  <si>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</si>
  <si>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</si>
  <si>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</si>
  <si>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</si>
  <si>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</si>
  <si>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</si>
  <si>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</si>
  <si>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</si>
  <si>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</si>
  <si>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</si>
  <si>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</si>
  <si>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</si>
  <si>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</si>
  <si>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</si>
  <si>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</si>
  <si>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</si>
  <si>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</si>
  <si>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</si>
  <si>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</si>
  <si>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</si>
  <si>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</si>
  <si>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</si>
  <si>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</si>
  <si>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</si>
  <si>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</si>
  <si>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</si>
  <si>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</si>
  <si>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</si>
  <si>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</si>
  <si>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</si>
  <si>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</si>
  <si>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</si>
  <si>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</si>
  <si>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</si>
  <si>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</si>
  <si>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</si>
  <si>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</si>
  <si>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</si>
  <si>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</si>
  <si>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</si>
  <si>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</si>
  <si>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</si>
  <si>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</si>
  <si>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</si>
  <si>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</si>
  <si>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</si>
  <si>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</si>
  <si>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</si>
  <si>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</si>
  <si>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</si>
  <si>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</si>
  <si>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</si>
  <si>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</si>
  <si>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</si>
  <si>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</si>
  <si>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</si>
  <si>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</si>
  <si>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</si>
  <si>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</si>
  <si>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</si>
  <si>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</si>
  <si>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</si>
  <si>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</si>
  <si>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</si>
  <si>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</si>
  <si>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</si>
  <si>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</si>
  <si>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</si>
  <si>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</si>
  <si>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</si>
  <si>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</si>
  <si>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</si>
  <si>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</si>
  <si>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</si>
  <si>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</si>
  <si>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</si>
  <si>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</si>
  <si>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</si>
  <si>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</si>
  <si>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</si>
  <si>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</si>
  <si>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</si>
  <si>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</si>
  <si>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</si>
  <si>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</si>
  <si>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</si>
  <si>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</si>
  <si>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</si>
  <si>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</si>
  <si>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</si>
  <si>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</si>
  <si>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</si>
  <si>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</si>
  <si>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</si>
  <si>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</si>
  <si>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</si>
  <si>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</si>
  <si>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</si>
  <si>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</si>
  <si>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</si>
  <si>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</si>
  <si>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</si>
  <si>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</si>
  <si>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</si>
  <si>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</si>
  <si>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</si>
  <si>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</si>
  <si>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</si>
  <si>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</si>
  <si>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</si>
  <si>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</si>
  <si>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</si>
  <si>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</si>
  <si>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</si>
  <si>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</si>
  <si>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</si>
  <si>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</si>
  <si>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</si>
  <si>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</si>
  <si>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</si>
  <si>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</si>
  <si>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</si>
  <si>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</si>
  <si>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</si>
  <si>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</si>
  <si>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</si>
  <si>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</si>
  <si>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</si>
  <si>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</si>
  <si>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</si>
  <si>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</si>
  <si>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</si>
  <si>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</si>
  <si>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</si>
  <si>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</si>
  <si>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</si>
  <si>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</si>
  <si>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</si>
  <si>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</si>
  <si>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</si>
  <si>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</si>
  <si>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</si>
  <si>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</si>
  <si>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</si>
  <si>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</si>
  <si>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</si>
  <si>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</si>
  <si>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</si>
  <si>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</si>
  <si>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</si>
  <si>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</si>
  <si>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</si>
  <si>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</si>
  <si>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</si>
  <si>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</si>
  <si>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</si>
  <si>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</si>
  <si>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</si>
  <si>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</si>
  <si>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</si>
  <si>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</si>
  <si>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</si>
  <si>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</si>
  <si>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</si>
  <si>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</si>
  <si>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</si>
  <si>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</si>
  <si>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</si>
  <si>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</si>
  <si>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</si>
  <si>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</si>
  <si>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</si>
  <si>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</si>
  <si>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</si>
  <si>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</si>
  <si>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</si>
  <si>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</si>
  <si>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</si>
  <si>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</si>
  <si>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</si>
  <si>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</si>
  <si>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</si>
  <si>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</si>
  <si>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</si>
  <si>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</si>
  <si>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</si>
  <si>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</si>
  <si>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</si>
  <si>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</si>
  <si>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</si>
  <si>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</si>
  <si>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</si>
  <si>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</si>
  <si>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</si>
  <si>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</si>
  <si>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</si>
  <si>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</si>
  <si>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</si>
  <si>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</si>
  <si>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</si>
  <si>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</si>
  <si>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</si>
  <si>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</si>
  <si>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</si>
  <si>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</si>
  <si>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</si>
  <si>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</si>
  <si>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</si>
  <si>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</si>
  <si>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</si>
  <si>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</si>
  <si>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</si>
  <si>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</si>
  <si>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</si>
  <si>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</si>
  <si>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</si>
  <si>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</si>
  <si>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</si>
  <si>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</si>
  <si>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</si>
  <si>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</si>
  <si>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</si>
  <si>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</si>
  <si>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</si>
  <si>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</si>
  <si>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</si>
  <si>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</si>
  <si>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</si>
  <si>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</si>
  <si>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</si>
  <si>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</si>
  <si>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</si>
  <si>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</si>
  <si>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</si>
  <si>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</si>
  <si>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</si>
  <si>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</si>
  <si>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</si>
  <si>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</si>
  <si>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</si>
  <si>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</si>
  <si>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</si>
  <si>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</si>
  <si>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</si>
  <si>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</si>
  <si>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</si>
  <si>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</si>
  <si>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</si>
  <si>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</si>
  <si>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</si>
  <si>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</si>
  <si>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</si>
  <si>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</si>
  <si>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</si>
  <si>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</si>
  <si>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</si>
  <si>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</si>
  <si>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</si>
  <si>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</si>
  <si>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</si>
  <si>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</si>
  <si>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</si>
  <si>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</si>
  <si>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</si>
  <si>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</si>
  <si>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</si>
  <si>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</si>
  <si>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</si>
  <si>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</si>
  <si>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</si>
  <si>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</si>
  <si>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</si>
  <si>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</si>
  <si>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</si>
  <si>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</si>
  <si>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</si>
  <si>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</si>
  <si>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</si>
  <si>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</si>
  <si>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</si>
  <si>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</si>
  <si>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</si>
  <si>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</si>
  <si>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</si>
  <si>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</si>
  <si>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</si>
  <si>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</si>
  <si>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</si>
  <si>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</si>
  <si>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</si>
  <si>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</si>
  <si>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</si>
  <si>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</si>
  <si>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</si>
  <si>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</si>
  <si>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</si>
  <si>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</si>
  <si>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</si>
  <si>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</si>
  <si>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</si>
  <si>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</si>
  <si>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</si>
  <si>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</si>
  <si>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</si>
  <si>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</si>
  <si>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</si>
  <si>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</si>
  <si>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</si>
  <si>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</si>
  <si>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</si>
  <si>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</si>
  <si>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</si>
  <si>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</si>
  <si>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</si>
  <si>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</si>
  <si>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</si>
  <si>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</si>
  <si>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</si>
  <si>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</si>
  <si>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</si>
  <si>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</si>
  <si>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</si>
  <si>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</si>
  <si>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</si>
  <si>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</si>
  <si>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</si>
  <si>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</si>
  <si>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</si>
  <si>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</si>
  <si>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</si>
  <si>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</si>
  <si>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</si>
  <si>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</si>
  <si>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</si>
  <si>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</si>
  <si>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</si>
  <si>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</si>
  <si>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</si>
  <si>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</si>
  <si>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</si>
  <si>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</si>
  <si>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</si>
  <si>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</si>
  <si>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</si>
  <si>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</si>
  <si>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</si>
  <si>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</si>
  <si>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</si>
  <si>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</si>
  <si>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</si>
  <si>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</si>
  <si>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</si>
  <si>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</si>
  <si>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</si>
  <si>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</si>
  <si>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</si>
  <si>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</si>
  <si>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</si>
  <si>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</si>
  <si>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</si>
  <si>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</si>
  <si>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</si>
  <si>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</si>
  <si>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</si>
  <si>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</si>
  <si>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</si>
  <si>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</si>
  <si>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</si>
  <si>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</si>
  <si>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</si>
  <si>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</si>
  <si>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</si>
  <si>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</si>
  <si>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</si>
  <si>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</si>
  <si>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</si>
  <si>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</si>
  <si>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</si>
  <si>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</si>
  <si>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</si>
  <si>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</si>
  <si>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</si>
  <si>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</si>
  <si>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</si>
  <si>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</si>
  <si>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</si>
  <si>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</si>
  <si>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</si>
  <si>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</si>
  <si>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</si>
  <si>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</si>
  <si>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</si>
  <si>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</si>
  <si>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</si>
  <si>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</si>
  <si>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</si>
  <si>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</si>
  <si>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</si>
  <si>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</si>
  <si>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</si>
  <si>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</si>
  <si>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</si>
  <si>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</si>
  <si>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</si>
  <si>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</si>
  <si>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</si>
  <si>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</si>
  <si>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</si>
  <si>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</si>
  <si>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</si>
  <si>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</si>
  <si>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</si>
  <si>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</si>
  <si>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</si>
  <si>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</si>
  <si>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</si>
  <si>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</si>
  <si>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</si>
  <si>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</si>
  <si>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</si>
  <si>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</si>
  <si>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</si>
  <si>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</si>
  <si>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</si>
  <si>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</si>
  <si>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</si>
  <si>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</si>
  <si>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</si>
  <si>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</si>
  <si>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</si>
  <si>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</si>
  <si>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</si>
  <si>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</si>
  <si>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</si>
  <si>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</si>
  <si>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</si>
  <si>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</si>
  <si>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</si>
  <si>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</si>
  <si>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</si>
  <si>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</si>
  <si>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</si>
  <si>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</si>
  <si>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</si>
  <si>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</si>
  <si>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</si>
  <si>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</si>
  <si>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</si>
  <si>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</si>
  <si>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</si>
  <si>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</si>
  <si>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</si>
  <si>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</si>
  <si>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</si>
  <si>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</si>
  <si>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</si>
  <si>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</si>
  <si>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</si>
  <si>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</si>
  <si>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</si>
  <si>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</si>
  <si>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</si>
  <si>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</si>
  <si>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</si>
  <si>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</si>
  <si>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</si>
  <si>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</si>
  <si>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</si>
  <si>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</si>
  <si>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</si>
  <si>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</si>
  <si>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</si>
  <si>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</si>
  <si>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</si>
  <si>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</si>
  <si>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</si>
  <si>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</si>
  <si>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</si>
  <si>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</si>
  <si>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</si>
  <si>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</si>
  <si>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</si>
  <si>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</si>
  <si>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</si>
  <si>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</si>
  <si>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</si>
  <si>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</si>
  <si>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</si>
  <si>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</si>
  <si>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</si>
  <si>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</si>
  <si>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</si>
  <si>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</si>
  <si>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</si>
  <si>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</si>
  <si>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</si>
  <si>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</si>
  <si>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</si>
  <si>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</si>
  <si>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</si>
  <si>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</si>
  <si>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</si>
  <si>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</si>
  <si>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</si>
  <si>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</si>
  <si>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</si>
  <si>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</si>
  <si>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</si>
  <si>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</si>
  <si>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</si>
  <si>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</si>
  <si>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</si>
  <si>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</si>
  <si>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</si>
  <si>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</si>
  <si>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</si>
  <si>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</si>
  <si>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</si>
  <si>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</si>
  <si>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</si>
  <si>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</si>
  <si>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</si>
  <si>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</si>
  <si>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</si>
  <si>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</si>
  <si>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</si>
  <si>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</si>
  <si>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</si>
  <si>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</si>
  <si>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</si>
  <si>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</si>
  <si>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</si>
  <si>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</si>
  <si>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</si>
  <si>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</si>
  <si>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</si>
  <si>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</si>
  <si>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</si>
  <si>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</si>
  <si>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</si>
  <si>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</si>
  <si>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</si>
  <si>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</si>
  <si>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</si>
  <si>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</si>
  <si>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</si>
  <si>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</si>
  <si>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</si>
  <si>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</si>
  <si>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</si>
  <si>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</si>
  <si>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</si>
  <si>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</si>
  <si>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</si>
  <si>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</si>
  <si>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</si>
  <si>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</si>
  <si>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</si>
  <si>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</si>
  <si>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</si>
  <si>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</si>
  <si>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</si>
  <si>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</si>
  <si>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</si>
  <si>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</si>
  <si>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</si>
  <si>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</si>
  <si>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</si>
  <si>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</si>
  <si>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</si>
  <si>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</si>
  <si>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</si>
  <si>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</si>
  <si>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</si>
  <si>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</si>
  <si>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</si>
  <si>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</si>
  <si>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</si>
  <si>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</si>
  <si>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</si>
  <si>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</si>
  <si>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</si>
  <si>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</si>
  <si>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</si>
  <si>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</si>
  <si>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</si>
  <si>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</si>
  <si>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</si>
  <si>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</si>
  <si>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</si>
  <si>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</si>
  <si>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</si>
  <si>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</si>
  <si>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</si>
  <si>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</si>
  <si>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</si>
  <si>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</si>
  <si>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</si>
  <si>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</si>
  <si>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</si>
  <si>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</si>
  <si>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</si>
  <si>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</si>
  <si>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</si>
  <si>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</si>
  <si>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</si>
  <si>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</si>
  <si>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</si>
  <si>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</si>
  <si>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</si>
  <si>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</si>
  <si>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</si>
  <si>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</si>
  <si>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</si>
  <si>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</si>
  <si>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</si>
  <si>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</si>
  <si>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</si>
  <si>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</si>
  <si>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</si>
  <si>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</si>
  <si>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</si>
  <si>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</si>
  <si>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</si>
  <si>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</si>
  <si>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</si>
  <si>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</si>
  <si>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</si>
  <si>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</si>
  <si>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</si>
  <si>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</si>
  <si>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</si>
  <si>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</si>
  <si>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</si>
  <si>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</si>
  <si>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</si>
  <si>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</si>
  <si>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</si>
  <si>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</si>
  <si>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</si>
  <si>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</si>
  <si>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</si>
  <si>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</si>
  <si>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</si>
  <si>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</si>
  <si>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</si>
  <si>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</si>
  <si>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</si>
  <si>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</si>
  <si>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</si>
  <si>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</si>
  <si>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</si>
  <si>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</si>
  <si>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</si>
  <si>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</si>
  <si>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</si>
  <si>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</si>
  <si>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</si>
  <si>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</si>
  <si>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</si>
  <si>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</si>
  <si>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</si>
  <si>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</si>
  <si>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</si>
  <si>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</si>
  <si>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</si>
  <si>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</si>
  <si>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</si>
  <si>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</si>
  <si>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</si>
  <si>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</si>
  <si>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</si>
  <si>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</si>
  <si>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</si>
  <si>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</si>
  <si>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</si>
  <si>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</si>
  <si>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</si>
  <si>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</si>
  <si>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</si>
  <si>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</si>
  <si>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</si>
  <si>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</si>
  <si>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</si>
  <si>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</si>
  <si>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</si>
  <si>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</si>
  <si>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</si>
  <si>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</si>
  <si>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</si>
  <si>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</si>
  <si>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</si>
  <si>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</si>
  <si>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</si>
  <si>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</si>
  <si>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</si>
  <si>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</si>
  <si>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</si>
  <si>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</si>
  <si>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</si>
  <si>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</si>
  <si>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</si>
  <si>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</si>
  <si>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</si>
  <si>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</si>
  <si>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</si>
  <si>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</si>
  <si>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</si>
  <si>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</si>
  <si>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</si>
  <si>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</si>
  <si>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</si>
  <si>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</si>
  <si>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</si>
  <si>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</si>
  <si>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</si>
  <si>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</si>
  <si>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</si>
  <si>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</si>
  <si>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</si>
  <si>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</si>
  <si>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</si>
  <si>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</si>
  <si>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</si>
  <si>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</si>
  <si>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</si>
  <si>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</si>
  <si>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</si>
  <si>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</si>
  <si>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</si>
  <si>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</si>
  <si>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</si>
  <si>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</si>
  <si>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</si>
  <si>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</si>
  <si>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</si>
  <si>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</si>
  <si>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</si>
  <si>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</si>
  <si>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</si>
  <si>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</si>
  <si>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</si>
  <si>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</si>
  <si>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</si>
  <si>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</si>
  <si>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</si>
  <si>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</si>
  <si>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</si>
  <si>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</si>
  <si>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</si>
  <si>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</si>
  <si>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</si>
  <si>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</si>
  <si>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</si>
  <si>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</si>
  <si>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</si>
  <si>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</si>
  <si>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</si>
  <si>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</si>
  <si>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</si>
  <si>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</si>
  <si>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</si>
  <si>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</si>
  <si>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</si>
  <si>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</si>
  <si>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</si>
  <si>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</si>
  <si>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</si>
  <si>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</si>
  <si>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</si>
  <si>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</si>
  <si>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</si>
  <si>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</si>
  <si>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</si>
  <si>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</si>
  <si>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</si>
  <si>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</si>
  <si>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</si>
  <si>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</si>
  <si>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</si>
  <si>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</si>
  <si>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</si>
  <si>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</si>
  <si>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</si>
  <si>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</si>
  <si>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</si>
  <si>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</si>
  <si>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</si>
  <si>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</si>
  <si>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</si>
  <si>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</si>
  <si>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</si>
  <si>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</si>
  <si>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</si>
  <si>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</si>
  <si>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</si>
  <si>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</si>
  <si>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</si>
  <si>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</si>
  <si>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</si>
  <si>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</si>
  <si>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</si>
  <si>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</si>
  <si>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</si>
  <si>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</si>
  <si>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</si>
  <si>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</si>
  <si>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</si>
  <si>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</si>
  <si>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</si>
  <si>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</si>
  <si>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</si>
  <si>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</si>
  <si>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</si>
  <si>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</si>
  <si>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</si>
  <si>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</si>
  <si>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</si>
  <si>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</si>
  <si>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</si>
  <si>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</si>
  <si>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</si>
  <si>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</si>
  <si>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</si>
  <si>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</si>
  <si>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</si>
  <si>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</si>
  <si>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</si>
  <si>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</si>
  <si>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</si>
  <si>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</si>
  <si>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</si>
  <si>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</si>
  <si>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</si>
  <si>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</si>
  <si>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</si>
  <si>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</si>
  <si>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</si>
  <si>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</si>
  <si>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</si>
  <si>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</si>
  <si>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</si>
  <si>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</si>
  <si>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</si>
  <si>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</si>
  <si>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</si>
  <si>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</si>
  <si>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</si>
  <si>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</si>
  <si>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</si>
  <si>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</si>
  <si>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</si>
  <si>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</si>
  <si>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</si>
  <si>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</si>
  <si>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</si>
  <si>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</si>
  <si>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</si>
  <si>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</si>
  <si>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</si>
  <si>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</si>
  <si>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</si>
  <si>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</si>
  <si>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</si>
  <si>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</si>
  <si>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</si>
  <si>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</si>
  <si>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</si>
  <si>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</si>
  <si>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</si>
  <si>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</si>
  <si>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</si>
  <si>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</si>
  <si>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</si>
  <si>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</si>
  <si>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</si>
  <si>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</si>
  <si>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</si>
  <si>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</si>
  <si>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</si>
  <si>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</si>
  <si>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</si>
  <si>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</si>
  <si>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</si>
  <si>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</si>
  <si>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</si>
  <si>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</si>
  <si>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</si>
  <si>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</si>
  <si>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</si>
  <si>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</si>
  <si>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</si>
  <si>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</si>
  <si>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</si>
  <si>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</si>
  <si>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</si>
  <si>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</si>
  <si>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</si>
  <si>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</si>
  <si>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</si>
  <si>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</si>
  <si>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</si>
  <si>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</si>
  <si>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</si>
  <si>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</si>
  <si>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</si>
  <si>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</si>
  <si>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</si>
  <si>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</si>
  <si>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</si>
  <si>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</si>
  <si>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</si>
  <si>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</si>
  <si>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</si>
  <si>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</si>
  <si>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</si>
  <si>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</si>
  <si>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</si>
  <si>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</si>
  <si>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</si>
  <si>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</si>
  <si>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</si>
  <si>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</si>
  <si>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</si>
  <si>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</si>
  <si>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</si>
  <si>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</si>
  <si>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</si>
  <si>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</si>
  <si>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</si>
  <si>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</si>
  <si>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</si>
  <si>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</si>
  <si>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</si>
  <si>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</si>
  <si>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</si>
  <si>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</si>
  <si>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</si>
  <si>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</si>
  <si>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</si>
  <si>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</si>
  <si>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</si>
  <si>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</si>
  <si>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</si>
  <si>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</si>
  <si>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</si>
  <si>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</si>
  <si>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</si>
  <si>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</si>
  <si>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</si>
  <si>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</si>
  <si>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</si>
  <si>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</si>
  <si>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</si>
  <si>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</si>
  <si>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</si>
  <si>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</si>
  <si>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</si>
  <si>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</si>
  <si>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</si>
  <si>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</si>
  <si>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</si>
  <si>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</si>
  <si>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</si>
  <si>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</si>
  <si>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</si>
  <si>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</si>
  <si>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</si>
  <si>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</si>
  <si>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</si>
  <si>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</si>
  <si>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</si>
  <si>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</si>
  <si>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</si>
  <si>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</si>
  <si>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</si>
  <si>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</si>
  <si>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</si>
  <si>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</si>
  <si>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</si>
  <si>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</si>
  <si>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</si>
  <si>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</si>
  <si>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</si>
  <si>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</si>
  <si>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</si>
  <si>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</si>
  <si>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</si>
  <si>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</si>
  <si>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</si>
  <si>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</si>
  <si>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</si>
  <si>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</si>
  <si>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</si>
  <si>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</si>
  <si>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</si>
  <si>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</si>
  <si>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</si>
  <si>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</si>
  <si>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</si>
  <si>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</si>
  <si>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</si>
  <si>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</si>
  <si>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</si>
  <si>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</si>
  <si>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</si>
  <si>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</si>
  <si>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</si>
  <si>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</si>
  <si>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</si>
  <si>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</si>
  <si>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</si>
  <si>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</si>
  <si>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</si>
  <si>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</si>
  <si>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</si>
  <si>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</si>
  <si>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</si>
  <si>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</si>
  <si>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</si>
  <si>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</si>
  <si>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</si>
  <si>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</si>
  <si>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</si>
  <si>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</si>
  <si>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</si>
  <si>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</si>
  <si>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</si>
  <si>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</si>
  <si>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</si>
  <si>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</si>
  <si>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</si>
  <si>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</si>
  <si>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</si>
  <si>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</si>
  <si>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</si>
  <si>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</si>
  <si>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</si>
  <si>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</si>
  <si>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</si>
  <si>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</si>
  <si>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</si>
  <si>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</si>
  <si>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</si>
  <si>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</si>
  <si>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</si>
  <si>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</si>
  <si>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</si>
  <si>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</si>
  <si>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</si>
  <si>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</si>
  <si>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</si>
  <si>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</si>
  <si>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</si>
  <si>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</si>
  <si>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</si>
  <si>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</si>
  <si>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</si>
  <si>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</si>
  <si>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</si>
  <si>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</si>
  <si>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</si>
  <si>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</si>
  <si>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</si>
  <si>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</si>
  <si>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</si>
  <si>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</si>
  <si>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</si>
  <si>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</si>
  <si>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</si>
  <si>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</si>
  <si>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</si>
  <si>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</si>
  <si>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</si>
  <si>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</si>
  <si>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</si>
  <si>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</si>
  <si>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</si>
  <si>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</si>
  <si>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</si>
  <si>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</si>
  <si>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</si>
  <si>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</si>
  <si>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</si>
  <si>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</si>
  <si>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</si>
  <si>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</si>
  <si>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</si>
  <si>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</si>
  <si>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</si>
  <si>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</si>
  <si>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</si>
  <si>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</si>
  <si>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</si>
  <si>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</si>
  <si>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</si>
  <si>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</si>
  <si>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</si>
  <si>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</si>
  <si>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</si>
  <si>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</si>
  <si>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</si>
  <si>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</si>
  <si>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</si>
  <si>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</si>
  <si>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</si>
  <si>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</si>
  <si>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</si>
  <si>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</si>
  <si>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</si>
  <si>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</si>
  <si>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</si>
  <si>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</si>
  <si>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</si>
  <si>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</si>
  <si>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</si>
  <si>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</si>
  <si>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</si>
  <si>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</si>
  <si>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</si>
  <si>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</si>
  <si>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</si>
  <si>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</si>
  <si>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</si>
  <si>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</si>
  <si>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</si>
  <si>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</si>
  <si>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</si>
  <si>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</si>
  <si>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</si>
  <si>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</si>
  <si>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</si>
  <si>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</si>
  <si>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</si>
  <si>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</si>
  <si>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</si>
  <si>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</si>
  <si>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</si>
  <si>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</si>
  <si>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</si>
  <si>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</si>
  <si>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</si>
  <si>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</si>
  <si>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</si>
  <si>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</si>
  <si>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</si>
  <si>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</si>
  <si>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</si>
  <si>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</si>
  <si>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</si>
  <si>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</si>
  <si>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</si>
  <si>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</si>
  <si>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</si>
  <si>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</si>
  <si>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</si>
  <si>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</si>
  <si>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</si>
  <si>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</si>
  <si>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</si>
  <si>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</si>
  <si>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</si>
  <si>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</si>
  <si>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</si>
  <si>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</si>
  <si>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</si>
  <si>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</si>
  <si>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</si>
  <si>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</si>
  <si>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</si>
  <si>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</si>
  <si>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</si>
  <si>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</si>
  <si>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</si>
  <si>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</si>
  <si>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</si>
  <si>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</si>
  <si>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</si>
  <si>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</si>
  <si>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</si>
  <si>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</si>
  <si>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</si>
  <si>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</si>
  <si>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</si>
  <si>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</si>
  <si>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</si>
  <si>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</si>
  <si>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</si>
  <si>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</si>
  <si>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</si>
  <si>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</si>
  <si>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</si>
  <si>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</si>
  <si>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</si>
  <si>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</si>
  <si>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</si>
  <si>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</si>
  <si>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</si>
  <si>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</si>
  <si>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</si>
  <si>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</si>
  <si>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</si>
  <si>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</si>
  <si>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</si>
  <si>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</si>
  <si>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</si>
  <si>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</si>
  <si>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</si>
  <si>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</si>
  <si>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</si>
  <si>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</si>
  <si>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</si>
  <si>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</si>
  <si>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</si>
  <si>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</si>
  <si>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</si>
  <si>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</si>
  <si>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</si>
  <si>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</si>
  <si>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</si>
  <si>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</si>
  <si>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</si>
  <si>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</si>
  <si>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</si>
  <si>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</si>
  <si>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</si>
  <si>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</si>
  <si>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</si>
  <si>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</si>
  <si>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</si>
  <si>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</si>
  <si>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</si>
  <si>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</si>
  <si>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</si>
  <si>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</si>
  <si>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</si>
  <si>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</si>
  <si>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</si>
  <si>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</si>
  <si>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</si>
  <si>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</si>
  <si>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</si>
  <si>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</si>
  <si>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</si>
  <si>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</si>
  <si>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</si>
  <si>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</si>
  <si>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</si>
  <si>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</si>
  <si>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</si>
  <si>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</si>
  <si>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</si>
  <si>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</si>
  <si>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</si>
  <si>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</si>
  <si>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</si>
  <si>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</si>
  <si>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</si>
  <si>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</si>
  <si>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</si>
  <si>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</si>
  <si>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</si>
  <si>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</si>
  <si>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</si>
  <si>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</si>
  <si>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</si>
  <si>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</si>
  <si>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</si>
  <si>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</si>
  <si>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</si>
  <si>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</si>
  <si>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</si>
  <si>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</si>
  <si>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</si>
  <si>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</si>
  <si>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</si>
  <si>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</si>
  <si>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</si>
  <si>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</si>
  <si>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</si>
  <si>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</si>
  <si>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</si>
  <si>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</si>
  <si>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</si>
  <si>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</si>
  <si>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</si>
  <si>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</si>
  <si>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</si>
  <si>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</si>
  <si>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</si>
  <si>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</si>
  <si>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</si>
  <si>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</si>
  <si>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</si>
  <si>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</si>
  <si>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</si>
  <si>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</si>
  <si>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</si>
  <si>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</si>
  <si>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</si>
  <si>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</si>
  <si>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</si>
  <si>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</si>
  <si>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</si>
  <si>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</si>
  <si>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</si>
  <si>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</si>
  <si>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</si>
  <si>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</si>
  <si>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</si>
  <si>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</si>
  <si>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</si>
  <si>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</si>
  <si>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</si>
  <si>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</si>
  <si>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</si>
  <si>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</si>
  <si>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</si>
  <si>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</si>
  <si>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</si>
  <si>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</si>
  <si>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</si>
  <si>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</si>
  <si>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</si>
  <si>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</si>
  <si>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</si>
  <si>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</si>
  <si>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</si>
  <si>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</si>
  <si>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</si>
  <si>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</si>
  <si>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</si>
  <si>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</si>
  <si>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</si>
  <si>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</si>
  <si>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</si>
  <si>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</si>
  <si>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</si>
  <si>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</si>
  <si>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</si>
  <si>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</si>
  <si>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</si>
  <si>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</si>
  <si>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</si>
  <si>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</si>
  <si>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</si>
  <si>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</si>
  <si>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</si>
  <si>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</si>
  <si>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</si>
  <si>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</si>
  <si>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</si>
  <si>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</si>
  <si>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</si>
  <si>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</si>
  <si>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</si>
  <si>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</si>
  <si>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</si>
  <si>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</si>
  <si>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</si>
  <si>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</si>
  <si>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</si>
  <si>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</si>
  <si>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</si>
  <si>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</si>
  <si>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</si>
  <si>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</si>
  <si>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</si>
  <si>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</si>
  <si>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</si>
  <si>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</si>
  <si>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</si>
  <si>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</si>
  <si>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</si>
  <si>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</si>
  <si>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</si>
  <si>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</si>
  <si>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</si>
  <si>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</si>
  <si>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</si>
  <si>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</si>
  <si>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</si>
  <si>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</si>
  <si>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</si>
  <si>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</si>
  <si>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</si>
  <si>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</si>
  <si>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</si>
  <si>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</si>
  <si>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</si>
  <si>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</si>
  <si>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</si>
  <si>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</si>
  <si>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</si>
  <si>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</si>
  <si>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</si>
  <si>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</si>
  <si>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</si>
  <si>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</si>
  <si>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</si>
  <si>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</si>
  <si>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</si>
  <si>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</si>
  <si>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PRESTACIÓN DE SERVICIOS TÉCNICOS PARA EL APOYO ADMINISTRATIVO AL ÁREA DE CARTERA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</si>
  <si>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</si>
  <si>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</si>
  <si>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</si>
  <si>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</si>
  <si>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</si>
  <si>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</si>
  <si>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</si>
  <si>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</si>
  <si>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</si>
  <si>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</si>
  <si>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</si>
  <si>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36923
50723
76223
99523
143123
166023
216123
216323</t>
  </si>
  <si>
    <t>76023
76123
78223
111623</t>
  </si>
  <si>
    <t>18223
22523
26523
39223
66823
66923
75723
84923
96323
96523</t>
  </si>
  <si>
    <t>36923
50723
76223
143123
166023
189023
216123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</si>
  <si>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</si>
  <si>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</si>
  <si>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</si>
  <si>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</si>
  <si>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</si>
  <si>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</si>
  <si>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</si>
  <si>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</si>
  <si>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</si>
  <si>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</si>
  <si>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</si>
  <si>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</si>
  <si>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</si>
  <si>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</si>
  <si>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</si>
  <si>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</si>
  <si>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</si>
  <si>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</si>
  <si>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</si>
  <si>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</si>
  <si>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</si>
  <si>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</si>
  <si>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</si>
  <si>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</si>
  <si>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1523
1623
1723
1823
1923
18623
18723
22623
43323</t>
  </si>
  <si>
    <t>218323 
218923</t>
  </si>
  <si>
    <t>18223
22523
26623
39323
49223
67023
75823
85023
96223
96423</t>
  </si>
  <si>
    <t>6123
6223</t>
  </si>
  <si>
    <t>2023
22223
22323</t>
  </si>
  <si>
    <t>PRESTACIÓN DE SERVICIOS TECNICOS Y DE APOYO A LA GESTIÓN EN 
EL ÁREA DE ADMINISTRACION DE VIVIENDAS, CON PLENA AUTONOMÍA
ADMINISTRATIVA, PARA LABORES PROPIAS ADMINISTRATIVAS SECCION
DE VIVIENDAS DEL ICFE</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</si>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</sst>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48">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106218</v>
      </c>
    </row>
    <row r="22" spans="7:7" x14ac:dyDescent="0.25">
      <c r="G22" t="s">
        <v>106222</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A536"/>
  <sheetViews>
    <sheetView showGridLines="0" tabSelected="1" topLeftCell="M6" zoomScale="90" zoomScaleNormal="90" workbookViewId="0">
      <pane xSplit="8340" ySplit="1065" topLeftCell="R325" activePane="bottomRight"/>
      <selection activeCell="K6" sqref="K1:K1048576"/>
      <selection pane="topRight" activeCell="S6" sqref="S6"/>
      <selection pane="bottomLeft" activeCell="M311" sqref="M311"/>
      <selection pane="bottomRight" activeCell="R335" sqref="R335"/>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9" bestFit="1" customWidth="1"/>
    <col min="15" max="15" width="22.5703125" style="738" bestFit="1" customWidth="1"/>
    <col min="16" max="16" width="22.140625" style="739" bestFit="1" customWidth="1"/>
    <col min="17" max="17" width="28.5703125" style="740" bestFit="1" customWidth="1"/>
    <col min="18" max="18" width="26" style="709" bestFit="1" customWidth="1"/>
    <col min="19" max="19" width="22.28515625" style="9" customWidth="1"/>
    <col min="20" max="20" width="25" style="5" customWidth="1"/>
    <col min="21" max="21" width="26.7109375" style="10" customWidth="1"/>
    <col min="22" max="22" width="7.7109375" style="10" hidden="1" customWidth="1"/>
    <col min="23" max="23" width="19.140625" style="10" bestFit="1" customWidth="1"/>
    <col min="24" max="24" width="9" style="796" hidden="1" customWidth="1"/>
    <col min="25" max="25" width="19.140625" style="10" bestFit="1" customWidth="1"/>
    <col min="26" max="26" width="26.7109375" style="784" customWidth="1"/>
    <col min="27" max="27" width="19.140625" style="348" bestFit="1" customWidth="1"/>
    <col min="28" max="16384" width="11.5703125" style="348"/>
  </cols>
  <sheetData>
    <row r="1" spans="2:26" x14ac:dyDescent="0.2">
      <c r="B1" s="5"/>
      <c r="C1" s="5"/>
      <c r="D1" s="5"/>
      <c r="E1" s="5"/>
      <c r="F1" s="5"/>
      <c r="G1" s="5"/>
      <c r="H1" s="5"/>
      <c r="I1" s="5"/>
      <c r="J1" s="5"/>
      <c r="K1" s="5"/>
      <c r="L1" s="5"/>
      <c r="M1" s="5"/>
      <c r="N1" s="737"/>
    </row>
    <row r="2" spans="2:26" ht="15.75" x14ac:dyDescent="0.25">
      <c r="B2" s="11" t="s">
        <v>106195</v>
      </c>
      <c r="C2" s="5"/>
      <c r="D2" s="5"/>
      <c r="E2" s="5"/>
      <c r="F2" s="5"/>
      <c r="G2" s="5"/>
      <c r="H2" s="5"/>
      <c r="I2" s="5"/>
      <c r="J2" s="5"/>
      <c r="K2" s="5"/>
      <c r="L2" s="5"/>
      <c r="M2" s="5"/>
      <c r="N2" s="737"/>
    </row>
    <row r="3" spans="2:26" ht="15.75" x14ac:dyDescent="0.25">
      <c r="B3" s="11"/>
      <c r="C3" s="5"/>
      <c r="D3" s="5"/>
      <c r="E3" s="5"/>
      <c r="F3" s="5"/>
      <c r="G3" s="5"/>
      <c r="H3" s="5"/>
      <c r="I3" s="5"/>
      <c r="J3" s="5"/>
      <c r="K3" s="5"/>
      <c r="L3" s="5"/>
      <c r="M3" s="5"/>
      <c r="N3" s="737"/>
    </row>
    <row r="4" spans="2:26" ht="15.75" x14ac:dyDescent="0.25">
      <c r="B4" s="11" t="s">
        <v>148</v>
      </c>
      <c r="C4" s="5"/>
      <c r="D4" s="5"/>
      <c r="E4" s="5"/>
      <c r="F4" s="5"/>
      <c r="G4" s="5"/>
      <c r="H4" s="5"/>
      <c r="I4" s="5"/>
      <c r="J4" s="5"/>
      <c r="K4" s="5"/>
      <c r="L4" s="5"/>
      <c r="N4" s="737"/>
    </row>
    <row r="5" spans="2:26" ht="18.75" thickBot="1" x14ac:dyDescent="0.25">
      <c r="B5" s="5"/>
      <c r="C5" s="5"/>
      <c r="D5" s="5"/>
      <c r="E5" s="5"/>
      <c r="F5" s="5"/>
      <c r="G5" s="5"/>
      <c r="H5" s="5"/>
      <c r="I5" s="5"/>
      <c r="J5" s="5"/>
      <c r="K5" s="5"/>
      <c r="L5" s="5"/>
      <c r="M5" s="5"/>
      <c r="N5" s="737"/>
      <c r="U5" s="278"/>
      <c r="V5" s="278"/>
      <c r="W5" s="278"/>
      <c r="X5" s="797"/>
      <c r="Y5" s="278"/>
      <c r="Z5" s="785"/>
    </row>
    <row r="6" spans="2:26" ht="45" x14ac:dyDescent="0.2">
      <c r="B6" s="317" t="s">
        <v>118</v>
      </c>
      <c r="C6" s="317" t="s">
        <v>0</v>
      </c>
      <c r="D6" s="317" t="s">
        <v>1</v>
      </c>
      <c r="E6" s="317" t="s">
        <v>2</v>
      </c>
      <c r="F6" s="317" t="s">
        <v>3</v>
      </c>
      <c r="G6" s="317" t="s">
        <v>4</v>
      </c>
      <c r="H6" s="317" t="s">
        <v>5</v>
      </c>
      <c r="I6" s="317" t="s">
        <v>6</v>
      </c>
      <c r="J6" s="317" t="s">
        <v>119</v>
      </c>
      <c r="K6" s="837" t="s">
        <v>106293</v>
      </c>
      <c r="L6" s="325" t="s">
        <v>145</v>
      </c>
      <c r="M6" s="318" t="s">
        <v>146</v>
      </c>
      <c r="N6" s="318" t="s">
        <v>251</v>
      </c>
      <c r="O6" s="319" t="s">
        <v>250</v>
      </c>
      <c r="P6" s="318" t="s">
        <v>143</v>
      </c>
      <c r="Q6" s="318" t="s">
        <v>144</v>
      </c>
      <c r="R6" s="710" t="s">
        <v>106090</v>
      </c>
      <c r="S6" s="320" t="s">
        <v>106021</v>
      </c>
      <c r="T6" s="320" t="s">
        <v>524</v>
      </c>
      <c r="U6" s="780" t="s">
        <v>147</v>
      </c>
      <c r="V6" s="792"/>
      <c r="W6" s="791" t="s">
        <v>106192</v>
      </c>
      <c r="X6" s="798"/>
      <c r="Y6" s="16" t="s">
        <v>106193</v>
      </c>
      <c r="Z6" s="786" t="s">
        <v>106194</v>
      </c>
    </row>
    <row r="7" spans="2:26" ht="15.75" customHeight="1" x14ac:dyDescent="0.2">
      <c r="B7" s="309" t="s">
        <v>7</v>
      </c>
      <c r="C7" s="309" t="s">
        <v>20</v>
      </c>
      <c r="D7" s="309"/>
      <c r="E7" s="309"/>
      <c r="F7" s="309"/>
      <c r="G7" s="309"/>
      <c r="H7" s="309"/>
      <c r="I7" s="309"/>
      <c r="J7" s="309"/>
      <c r="K7" s="838"/>
      <c r="L7" s="326"/>
      <c r="M7" s="315" t="s">
        <v>244</v>
      </c>
      <c r="N7" s="741" t="s">
        <v>106116</v>
      </c>
      <c r="O7" s="741" t="s">
        <v>106116</v>
      </c>
      <c r="P7" s="742"/>
      <c r="Q7" s="742"/>
      <c r="R7" s="711">
        <f>+R8+R25</f>
        <v>8484999999.999999</v>
      </c>
      <c r="S7" s="228">
        <v>8485000000</v>
      </c>
      <c r="T7" s="251">
        <f>+R7-S7</f>
        <v>0</v>
      </c>
      <c r="U7" s="793" t="s">
        <v>106116</v>
      </c>
      <c r="V7" s="793"/>
      <c r="W7" s="772"/>
      <c r="X7" s="802"/>
      <c r="Y7" s="772"/>
      <c r="Z7" s="803"/>
    </row>
    <row r="8" spans="2:26" s="349" customFormat="1" ht="15.75" customHeight="1" x14ac:dyDescent="0.25">
      <c r="B8" s="310" t="s">
        <v>7</v>
      </c>
      <c r="C8" s="310" t="s">
        <v>20</v>
      </c>
      <c r="D8" s="310" t="s">
        <v>8</v>
      </c>
      <c r="E8" s="310"/>
      <c r="F8" s="310"/>
      <c r="G8" s="310"/>
      <c r="H8" s="310"/>
      <c r="I8" s="310"/>
      <c r="J8" s="310"/>
      <c r="K8" s="839"/>
      <c r="L8" s="327"/>
      <c r="M8" s="231" t="s">
        <v>25</v>
      </c>
      <c r="N8" s="743" t="s">
        <v>106116</v>
      </c>
      <c r="O8" s="743" t="s">
        <v>106116</v>
      </c>
      <c r="P8" s="744"/>
      <c r="Q8" s="744"/>
      <c r="R8" s="712">
        <f>+R9</f>
        <v>397000000</v>
      </c>
      <c r="S8" s="209"/>
      <c r="T8" s="280"/>
      <c r="U8" s="31" t="s">
        <v>106116</v>
      </c>
      <c r="V8" s="31"/>
      <c r="W8" s="772"/>
      <c r="X8" s="802"/>
      <c r="Y8" s="772"/>
      <c r="Z8" s="803"/>
    </row>
    <row r="9" spans="2:26"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3">
        <f>+R10+R19</f>
        <v>397000000</v>
      </c>
      <c r="S9" s="210"/>
      <c r="T9" s="281"/>
      <c r="U9" s="37" t="s">
        <v>106116</v>
      </c>
      <c r="V9" s="37"/>
      <c r="W9" s="773"/>
      <c r="X9" s="800"/>
      <c r="Y9" s="773"/>
      <c r="Z9" s="787"/>
    </row>
    <row r="10" spans="2:26" ht="15" customHeight="1" x14ac:dyDescent="0.2">
      <c r="B10" s="199" t="s">
        <v>7</v>
      </c>
      <c r="C10" s="199" t="s">
        <v>20</v>
      </c>
      <c r="D10" s="199" t="s">
        <v>8</v>
      </c>
      <c r="E10" s="199" t="s">
        <v>8</v>
      </c>
      <c r="F10" s="199" t="s">
        <v>12</v>
      </c>
      <c r="G10" s="199"/>
      <c r="H10" s="199"/>
      <c r="I10" s="199"/>
      <c r="J10" s="199"/>
      <c r="K10" s="840"/>
      <c r="L10" s="329"/>
      <c r="M10" s="233" t="s">
        <v>35</v>
      </c>
      <c r="N10" s="41" t="s">
        <v>106116</v>
      </c>
      <c r="O10" s="41" t="s">
        <v>106116</v>
      </c>
      <c r="P10" s="42"/>
      <c r="Q10" s="42"/>
      <c r="R10" s="714">
        <f>+R11+R16</f>
        <v>397000000</v>
      </c>
      <c r="S10" s="211"/>
      <c r="T10" s="211"/>
      <c r="U10" s="43" t="s">
        <v>106116</v>
      </c>
      <c r="V10" s="43"/>
      <c r="W10" s="773"/>
      <c r="X10" s="800"/>
      <c r="Y10" s="773"/>
      <c r="Z10" s="787"/>
    </row>
    <row r="11" spans="2:26"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5">
        <f>+R12</f>
        <v>327000000</v>
      </c>
      <c r="S11" s="212"/>
      <c r="T11" s="212"/>
      <c r="U11" s="49" t="s">
        <v>106116</v>
      </c>
      <c r="V11" s="49"/>
      <c r="W11" s="773"/>
      <c r="X11" s="800"/>
      <c r="Y11" s="773"/>
      <c r="Z11" s="787"/>
    </row>
    <row r="12" spans="2:26"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6">
        <f>SUM(R13:R15)</f>
        <v>327000000</v>
      </c>
      <c r="S12" s="213"/>
      <c r="T12" s="213"/>
      <c r="U12" s="56" t="s">
        <v>106116</v>
      </c>
      <c r="V12" s="56"/>
      <c r="W12" s="773"/>
      <c r="X12" s="800"/>
      <c r="Y12" s="773"/>
      <c r="Z12" s="787"/>
    </row>
    <row r="13" spans="2:26" ht="44.25" customHeight="1" x14ac:dyDescent="0.2">
      <c r="B13" s="321"/>
      <c r="C13" s="93"/>
      <c r="D13" s="93"/>
      <c r="E13" s="93"/>
      <c r="F13" s="93"/>
      <c r="G13" s="93"/>
      <c r="H13" s="93"/>
      <c r="I13" s="93"/>
      <c r="J13" s="344"/>
      <c r="K13" s="344" t="s">
        <v>106263</v>
      </c>
      <c r="L13" s="679" t="s">
        <v>284</v>
      </c>
      <c r="M13" s="58" t="s">
        <v>285</v>
      </c>
      <c r="N13" s="59">
        <v>45076</v>
      </c>
      <c r="O13" s="59" t="s">
        <v>367</v>
      </c>
      <c r="P13" s="60" t="s">
        <v>326</v>
      </c>
      <c r="Q13" s="60" t="s">
        <v>425</v>
      </c>
      <c r="R13" s="717">
        <f>100000000-100000000+150000000</f>
        <v>150000000</v>
      </c>
      <c r="S13" s="62"/>
      <c r="T13" s="63"/>
      <c r="U13" s="64" t="s">
        <v>166</v>
      </c>
      <c r="V13" s="64">
        <v>93923</v>
      </c>
      <c r="W13" s="776">
        <v>150000000</v>
      </c>
      <c r="X13" s="804"/>
      <c r="Y13" s="776"/>
      <c r="Z13" s="788">
        <f t="shared" ref="Z13" si="0">+Y13-R13</f>
        <v>-150000000</v>
      </c>
    </row>
    <row r="14" spans="2:26" ht="44.25" customHeight="1" x14ac:dyDescent="0.2">
      <c r="B14" s="321"/>
      <c r="C14" s="93"/>
      <c r="D14" s="93"/>
      <c r="E14" s="93"/>
      <c r="F14" s="93"/>
      <c r="G14" s="93"/>
      <c r="H14" s="93"/>
      <c r="I14" s="93"/>
      <c r="J14" s="344"/>
      <c r="K14" s="344" t="s">
        <v>106263</v>
      </c>
      <c r="L14" s="328">
        <v>43222501</v>
      </c>
      <c r="M14" s="100" t="s">
        <v>352</v>
      </c>
      <c r="N14" s="59">
        <v>44941</v>
      </c>
      <c r="O14" s="59" t="s">
        <v>256</v>
      </c>
      <c r="P14" s="60" t="s">
        <v>305</v>
      </c>
      <c r="Q14" s="60" t="s">
        <v>425</v>
      </c>
      <c r="R14" s="717">
        <f>110000000</f>
        <v>110000000</v>
      </c>
      <c r="S14" s="62"/>
      <c r="T14" s="63"/>
      <c r="U14" s="64" t="s">
        <v>156</v>
      </c>
      <c r="V14" s="64">
        <v>5623</v>
      </c>
      <c r="W14" s="776">
        <v>110000000</v>
      </c>
      <c r="X14" s="799">
        <v>188923</v>
      </c>
      <c r="Y14" s="776">
        <v>79833146</v>
      </c>
      <c r="Z14" s="788">
        <f>+Y14-R14</f>
        <v>-30166854</v>
      </c>
    </row>
    <row r="15" spans="2:26" ht="44.25" customHeight="1" x14ac:dyDescent="0.2">
      <c r="B15" s="321"/>
      <c r="C15" s="93"/>
      <c r="D15" s="93"/>
      <c r="E15" s="93"/>
      <c r="F15" s="93"/>
      <c r="G15" s="93"/>
      <c r="H15" s="93"/>
      <c r="I15" s="93"/>
      <c r="J15" s="344"/>
      <c r="K15" s="344" t="s">
        <v>106263</v>
      </c>
      <c r="L15" s="328">
        <v>43223300</v>
      </c>
      <c r="M15" s="100" t="s">
        <v>106120</v>
      </c>
      <c r="N15" s="59">
        <v>44977</v>
      </c>
      <c r="O15" s="59" t="s">
        <v>256</v>
      </c>
      <c r="P15" s="60" t="s">
        <v>106034</v>
      </c>
      <c r="Q15" s="60" t="s">
        <v>425</v>
      </c>
      <c r="R15" s="717">
        <v>67000000</v>
      </c>
      <c r="S15" s="62"/>
      <c r="T15" s="63"/>
      <c r="U15" s="64" t="s">
        <v>156</v>
      </c>
      <c r="V15" s="64">
        <v>34023</v>
      </c>
      <c r="W15" s="776">
        <v>67000000</v>
      </c>
      <c r="X15" s="804">
        <v>187923</v>
      </c>
      <c r="Y15" s="776">
        <v>57181271.170000002</v>
      </c>
      <c r="Z15" s="788">
        <f t="shared" ref="Z15:Z77" si="1">+Y15-R15</f>
        <v>-9818728.8299999982</v>
      </c>
    </row>
    <row r="16" spans="2:26"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5">
        <f>+R17</f>
        <v>70000000</v>
      </c>
      <c r="S16" s="212"/>
      <c r="T16" s="212"/>
      <c r="U16" s="49"/>
      <c r="V16" s="49"/>
      <c r="W16" s="773"/>
      <c r="X16" s="800"/>
      <c r="Y16" s="773"/>
      <c r="Z16" s="787"/>
    </row>
    <row r="17" spans="2:26"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6">
        <f>+R18</f>
        <v>70000000</v>
      </c>
      <c r="S17" s="213"/>
      <c r="T17" s="213"/>
      <c r="U17" s="71"/>
      <c r="V17" s="71"/>
      <c r="W17" s="773"/>
      <c r="X17" s="800"/>
      <c r="Y17" s="773"/>
      <c r="Z17" s="787"/>
    </row>
    <row r="18" spans="2:26"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7">
        <f>70000000-70000000+70000000</f>
        <v>70000000</v>
      </c>
      <c r="S18" s="684"/>
      <c r="T18" s="766"/>
      <c r="U18" s="64" t="s">
        <v>156</v>
      </c>
      <c r="V18" s="64">
        <v>76723</v>
      </c>
      <c r="W18" s="776">
        <v>70000000</v>
      </c>
      <c r="X18" s="804"/>
      <c r="Y18" s="776"/>
      <c r="Z18" s="788">
        <f t="shared" si="1"/>
        <v>-70000000</v>
      </c>
    </row>
    <row r="19" spans="2:26" ht="15" customHeight="1" x14ac:dyDescent="0.2">
      <c r="B19" s="199" t="s">
        <v>7</v>
      </c>
      <c r="C19" s="199" t="s">
        <v>20</v>
      </c>
      <c r="D19" s="199" t="s">
        <v>8</v>
      </c>
      <c r="E19" s="199" t="s">
        <v>8</v>
      </c>
      <c r="F19" s="199" t="s">
        <v>14</v>
      </c>
      <c r="G19" s="199"/>
      <c r="H19" s="199"/>
      <c r="I19" s="199"/>
      <c r="J19" s="199"/>
      <c r="K19" s="840"/>
      <c r="L19" s="329"/>
      <c r="M19" s="233" t="s">
        <v>41</v>
      </c>
      <c r="N19" s="41"/>
      <c r="O19" s="41"/>
      <c r="P19" s="42"/>
      <c r="Q19" s="42"/>
      <c r="R19" s="714">
        <f>+R20</f>
        <v>0</v>
      </c>
      <c r="S19" s="211"/>
      <c r="T19" s="211"/>
      <c r="U19" s="43"/>
      <c r="V19" s="43"/>
      <c r="W19" s="773"/>
      <c r="X19" s="800"/>
      <c r="Y19" s="773"/>
      <c r="Z19" s="787"/>
    </row>
    <row r="20" spans="2:26"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5">
        <f>+R21</f>
        <v>0</v>
      </c>
      <c r="S20" s="212"/>
      <c r="T20" s="212"/>
      <c r="U20" s="49"/>
      <c r="V20" s="49"/>
      <c r="W20" s="773"/>
      <c r="X20" s="800"/>
      <c r="Y20" s="773"/>
      <c r="Z20" s="787"/>
    </row>
    <row r="21" spans="2:26"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6">
        <f>+R22</f>
        <v>0</v>
      </c>
      <c r="S21" s="213"/>
      <c r="T21" s="213"/>
      <c r="U21" s="71"/>
      <c r="V21" s="71"/>
      <c r="W21" s="773"/>
      <c r="X21" s="800"/>
      <c r="Y21" s="773"/>
      <c r="Z21" s="787"/>
    </row>
    <row r="22" spans="2:26"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6">
        <f>+R23</f>
        <v>0</v>
      </c>
      <c r="S22" s="213"/>
      <c r="T22" s="213"/>
      <c r="U22" s="71"/>
      <c r="V22" s="71"/>
      <c r="W22" s="773"/>
      <c r="X22" s="800"/>
      <c r="Y22" s="773"/>
      <c r="Z22" s="787"/>
    </row>
    <row r="23" spans="2:26"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6">
        <f>+R24</f>
        <v>0</v>
      </c>
      <c r="S23" s="213"/>
      <c r="T23" s="213"/>
      <c r="U23" s="71"/>
      <c r="V23" s="71"/>
      <c r="W23" s="773"/>
      <c r="X23" s="800"/>
      <c r="Y23" s="773"/>
      <c r="Z23" s="787"/>
    </row>
    <row r="24" spans="2:26"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7">
        <f>79700000-79700000</f>
        <v>0</v>
      </c>
      <c r="S24" s="62"/>
      <c r="T24" s="63"/>
      <c r="U24" s="64" t="s">
        <v>163</v>
      </c>
      <c r="V24" s="64"/>
      <c r="W24" s="776"/>
      <c r="X24" s="804"/>
      <c r="Y24" s="776"/>
      <c r="Z24" s="788">
        <f t="shared" si="1"/>
        <v>0</v>
      </c>
    </row>
    <row r="25" spans="2:26" s="349" customFormat="1" ht="15.75" customHeight="1" x14ac:dyDescent="0.25">
      <c r="B25" s="310" t="s">
        <v>7</v>
      </c>
      <c r="C25" s="310" t="s">
        <v>20</v>
      </c>
      <c r="D25" s="310" t="s">
        <v>20</v>
      </c>
      <c r="E25" s="310"/>
      <c r="F25" s="310"/>
      <c r="G25" s="310"/>
      <c r="H25" s="310"/>
      <c r="I25" s="310"/>
      <c r="J25" s="310"/>
      <c r="K25" s="839"/>
      <c r="L25" s="327"/>
      <c r="M25" s="231" t="s">
        <v>46</v>
      </c>
      <c r="N25" s="743"/>
      <c r="O25" s="743"/>
      <c r="P25" s="744"/>
      <c r="Q25" s="744"/>
      <c r="R25" s="712">
        <f>+R26+R90</f>
        <v>8087999999.999999</v>
      </c>
      <c r="S25" s="209"/>
      <c r="T25" s="209"/>
      <c r="U25" s="31"/>
      <c r="V25" s="31"/>
      <c r="W25" s="772"/>
      <c r="X25" s="802"/>
      <c r="Y25" s="772"/>
      <c r="Z25" s="787"/>
    </row>
    <row r="26" spans="2:26" ht="15" customHeight="1" x14ac:dyDescent="0.2">
      <c r="B26" s="33" t="s">
        <v>7</v>
      </c>
      <c r="C26" s="33" t="s">
        <v>20</v>
      </c>
      <c r="D26" s="33" t="s">
        <v>20</v>
      </c>
      <c r="E26" s="33" t="s">
        <v>8</v>
      </c>
      <c r="F26" s="33"/>
      <c r="G26" s="33"/>
      <c r="H26" s="33"/>
      <c r="I26" s="33"/>
      <c r="J26" s="33"/>
      <c r="K26" s="328"/>
      <c r="L26" s="328"/>
      <c r="M26" s="232" t="s">
        <v>47</v>
      </c>
      <c r="N26" s="35"/>
      <c r="O26" s="35"/>
      <c r="P26" s="36"/>
      <c r="Q26" s="36"/>
      <c r="R26" s="713">
        <f>+R27+R31+R43+R70</f>
        <v>959828063.36000001</v>
      </c>
      <c r="S26" s="210"/>
      <c r="T26" s="210"/>
      <c r="U26" s="75"/>
      <c r="V26" s="75"/>
      <c r="W26" s="773"/>
      <c r="X26" s="800"/>
      <c r="Y26" s="773"/>
      <c r="Z26" s="787"/>
    </row>
    <row r="27" spans="2:26" ht="15" customHeight="1" x14ac:dyDescent="0.2">
      <c r="B27" s="199" t="s">
        <v>7</v>
      </c>
      <c r="C27" s="199" t="s">
        <v>20</v>
      </c>
      <c r="D27" s="199" t="s">
        <v>20</v>
      </c>
      <c r="E27" s="199" t="s">
        <v>8</v>
      </c>
      <c r="F27" s="199" t="s">
        <v>138</v>
      </c>
      <c r="G27" s="199"/>
      <c r="H27" s="199"/>
      <c r="I27" s="199"/>
      <c r="J27" s="199"/>
      <c r="K27" s="840"/>
      <c r="L27" s="329"/>
      <c r="M27" s="233" t="s">
        <v>139</v>
      </c>
      <c r="N27" s="41"/>
      <c r="O27" s="41"/>
      <c r="P27" s="42"/>
      <c r="Q27" s="42"/>
      <c r="R27" s="714">
        <f>+R28</f>
        <v>10000000</v>
      </c>
      <c r="S27" s="211"/>
      <c r="T27" s="211"/>
      <c r="U27" s="43"/>
      <c r="V27" s="43"/>
      <c r="W27" s="773"/>
      <c r="X27" s="800"/>
      <c r="Y27" s="773"/>
      <c r="Z27" s="787"/>
    </row>
    <row r="28" spans="2:26"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5">
        <f>+R29</f>
        <v>10000000</v>
      </c>
      <c r="S28" s="212"/>
      <c r="T28" s="212"/>
      <c r="U28" s="49"/>
      <c r="V28" s="49"/>
      <c r="W28" s="773"/>
      <c r="X28" s="800"/>
      <c r="Y28" s="773"/>
      <c r="Z28" s="787"/>
    </row>
    <row r="29" spans="2:26" ht="15" customHeight="1" x14ac:dyDescent="0.2">
      <c r="B29" s="311" t="s">
        <v>7</v>
      </c>
      <c r="C29" s="311" t="s">
        <v>20</v>
      </c>
      <c r="D29" s="311" t="s">
        <v>20</v>
      </c>
      <c r="E29" s="311" t="s">
        <v>8</v>
      </c>
      <c r="F29" s="311" t="s">
        <v>138</v>
      </c>
      <c r="G29" s="311" t="s">
        <v>9</v>
      </c>
      <c r="H29" s="311" t="s">
        <v>28</v>
      </c>
      <c r="I29" s="311"/>
      <c r="J29" s="311"/>
      <c r="K29" s="841"/>
      <c r="L29" s="331"/>
      <c r="M29" s="236" t="s">
        <v>158</v>
      </c>
      <c r="N29" s="79"/>
      <c r="O29" s="79"/>
      <c r="P29" s="80"/>
      <c r="Q29" s="80"/>
      <c r="R29" s="718">
        <f>+R30</f>
        <v>10000000</v>
      </c>
      <c r="S29" s="214"/>
      <c r="T29" s="214"/>
      <c r="U29" s="81"/>
      <c r="V29" s="81"/>
      <c r="W29" s="773"/>
      <c r="X29" s="800"/>
      <c r="Y29" s="773"/>
      <c r="Z29" s="787"/>
    </row>
    <row r="30" spans="2:26" ht="30" customHeight="1" x14ac:dyDescent="0.2">
      <c r="B30" s="94"/>
      <c r="C30" s="302"/>
      <c r="D30" s="302"/>
      <c r="E30" s="302"/>
      <c r="F30" s="302"/>
      <c r="G30" s="302"/>
      <c r="H30" s="302"/>
      <c r="I30" s="302"/>
      <c r="J30" s="347"/>
      <c r="K30" s="344" t="str">
        <f>B28&amp;"-"&amp;C28&amp;"-"&amp;D28&amp;"-"&amp;E28&amp;"-"&amp;F28&amp;"-"&amp;G28</f>
        <v>A-02-02-01-000-001</v>
      </c>
      <c r="L30" s="679">
        <v>50201700</v>
      </c>
      <c r="M30" s="129" t="s">
        <v>304</v>
      </c>
      <c r="N30" s="59">
        <v>44972</v>
      </c>
      <c r="O30" s="59" t="s">
        <v>256</v>
      </c>
      <c r="P30" s="60" t="s">
        <v>305</v>
      </c>
      <c r="Q30" s="60" t="s">
        <v>219</v>
      </c>
      <c r="R30" s="717">
        <v>10000000</v>
      </c>
      <c r="S30" s="62"/>
      <c r="T30" s="63"/>
      <c r="U30" s="64" t="s">
        <v>163</v>
      </c>
      <c r="V30" s="64">
        <v>26723</v>
      </c>
      <c r="W30" s="776">
        <v>10000000</v>
      </c>
      <c r="X30" s="804">
        <v>130823</v>
      </c>
      <c r="Y30" s="776">
        <v>10000000</v>
      </c>
      <c r="Z30" s="788">
        <f t="shared" si="1"/>
        <v>0</v>
      </c>
    </row>
    <row r="31" spans="2:26" ht="30" customHeight="1" x14ac:dyDescent="0.2">
      <c r="B31" s="199" t="s">
        <v>7</v>
      </c>
      <c r="C31" s="199" t="s">
        <v>20</v>
      </c>
      <c r="D31" s="199" t="s">
        <v>20</v>
      </c>
      <c r="E31" s="199" t="s">
        <v>8</v>
      </c>
      <c r="F31" s="199" t="s">
        <v>10</v>
      </c>
      <c r="G31" s="199"/>
      <c r="H31" s="199"/>
      <c r="I31" s="199"/>
      <c r="J31" s="199"/>
      <c r="K31" s="840"/>
      <c r="L31" s="329"/>
      <c r="M31" s="233" t="s">
        <v>48</v>
      </c>
      <c r="N31" s="41"/>
      <c r="O31" s="41"/>
      <c r="P31" s="42"/>
      <c r="Q31" s="42"/>
      <c r="R31" s="714">
        <f>+R32+R37+R40</f>
        <v>389400000</v>
      </c>
      <c r="S31" s="211"/>
      <c r="T31" s="211"/>
      <c r="U31" s="43"/>
      <c r="V31" s="43"/>
      <c r="W31" s="773"/>
      <c r="X31" s="800"/>
      <c r="Y31" s="773"/>
      <c r="Z31" s="787"/>
    </row>
    <row r="32" spans="2:26"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5">
        <f>+R33+R35</f>
        <v>13100000</v>
      </c>
      <c r="S32" s="212"/>
      <c r="T32" s="212"/>
      <c r="U32" s="49"/>
      <c r="V32" s="49"/>
      <c r="W32" s="773"/>
      <c r="X32" s="800"/>
      <c r="Y32" s="773"/>
      <c r="Z32" s="787"/>
    </row>
    <row r="33" spans="2:26"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6">
        <f>+R34</f>
        <v>3100000</v>
      </c>
      <c r="S33" s="213"/>
      <c r="T33" s="213"/>
      <c r="U33" s="71"/>
      <c r="V33" s="71"/>
      <c r="W33" s="773"/>
      <c r="X33" s="800"/>
      <c r="Y33" s="773"/>
      <c r="Z33" s="787"/>
    </row>
    <row r="34" spans="2:26" ht="30" customHeight="1" x14ac:dyDescent="0.2">
      <c r="B34" s="321"/>
      <c r="C34" s="93"/>
      <c r="D34" s="93"/>
      <c r="E34" s="93"/>
      <c r="F34" s="93"/>
      <c r="G34" s="93"/>
      <c r="H34" s="93"/>
      <c r="I34" s="93"/>
      <c r="J34" s="344"/>
      <c r="K34" s="344" t="str">
        <f>B32&amp;"-"&amp;C32&amp;"-"&amp;D32&amp;"-"&amp;E32&amp;"-"&amp;F32&amp;"-"&amp;G32</f>
        <v>A-02-02-01-002-003</v>
      </c>
      <c r="L34" s="679">
        <v>50161500</v>
      </c>
      <c r="M34" s="129" t="s">
        <v>306</v>
      </c>
      <c r="N34" s="59">
        <v>44972</v>
      </c>
      <c r="O34" s="59" t="s">
        <v>256</v>
      </c>
      <c r="P34" s="60" t="s">
        <v>305</v>
      </c>
      <c r="Q34" s="60" t="s">
        <v>219</v>
      </c>
      <c r="R34" s="717">
        <v>3100000</v>
      </c>
      <c r="S34" s="62"/>
      <c r="T34" s="63"/>
      <c r="U34" s="64" t="s">
        <v>163</v>
      </c>
      <c r="V34" s="64">
        <v>26723</v>
      </c>
      <c r="W34" s="776">
        <v>3100000</v>
      </c>
      <c r="X34" s="804">
        <v>130823</v>
      </c>
      <c r="Y34" s="776">
        <v>3100000</v>
      </c>
      <c r="Z34" s="788">
        <f t="shared" si="1"/>
        <v>0</v>
      </c>
    </row>
    <row r="35" spans="2:26"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6">
        <f>+R36</f>
        <v>10000000</v>
      </c>
      <c r="S35" s="213"/>
      <c r="T35" s="213"/>
      <c r="U35" s="71"/>
      <c r="V35" s="71"/>
      <c r="W35" s="773"/>
      <c r="X35" s="800"/>
      <c r="Y35" s="773"/>
      <c r="Z35" s="787"/>
    </row>
    <row r="36" spans="2:26" ht="30" customHeight="1" x14ac:dyDescent="0.2">
      <c r="B36" s="321"/>
      <c r="C36" s="93"/>
      <c r="D36" s="93"/>
      <c r="E36" s="93"/>
      <c r="F36" s="93"/>
      <c r="G36" s="93"/>
      <c r="H36" s="93"/>
      <c r="I36" s="93"/>
      <c r="J36" s="344"/>
      <c r="K36" s="344" t="s">
        <v>106264</v>
      </c>
      <c r="L36" s="328">
        <v>50161500</v>
      </c>
      <c r="M36" s="129" t="s">
        <v>307</v>
      </c>
      <c r="N36" s="59">
        <v>44972</v>
      </c>
      <c r="O36" s="59" t="s">
        <v>256</v>
      </c>
      <c r="P36" s="60" t="s">
        <v>305</v>
      </c>
      <c r="Q36" s="60" t="s">
        <v>219</v>
      </c>
      <c r="R36" s="717">
        <v>10000000</v>
      </c>
      <c r="S36" s="62"/>
      <c r="T36" s="63"/>
      <c r="U36" s="64" t="s">
        <v>163</v>
      </c>
      <c r="V36" s="64">
        <v>26723</v>
      </c>
      <c r="W36" s="776">
        <v>10000000</v>
      </c>
      <c r="X36" s="804">
        <v>130823</v>
      </c>
      <c r="Y36" s="776">
        <v>10000000</v>
      </c>
      <c r="Z36" s="788">
        <f t="shared" si="1"/>
        <v>0</v>
      </c>
    </row>
    <row r="37" spans="2:26"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5">
        <f>SUM(R38:R39)</f>
        <v>89500000</v>
      </c>
      <c r="S37" s="212"/>
      <c r="T37" s="212"/>
      <c r="U37" s="49"/>
      <c r="V37" s="49"/>
      <c r="W37" s="773"/>
      <c r="X37" s="800"/>
      <c r="Y37" s="773"/>
      <c r="Z37" s="787"/>
    </row>
    <row r="38" spans="2:26" ht="30" customHeight="1" x14ac:dyDescent="0.2">
      <c r="B38" s="321"/>
      <c r="C38" s="93"/>
      <c r="D38" s="93"/>
      <c r="E38" s="93"/>
      <c r="F38" s="93"/>
      <c r="G38" s="93"/>
      <c r="H38" s="93"/>
      <c r="I38" s="93"/>
      <c r="J38" s="344"/>
      <c r="K38" s="344" t="s">
        <v>106265</v>
      </c>
      <c r="L38" s="328">
        <v>14121500</v>
      </c>
      <c r="M38" s="129" t="s">
        <v>308</v>
      </c>
      <c r="N38" s="59">
        <v>44972</v>
      </c>
      <c r="O38" s="59" t="s">
        <v>256</v>
      </c>
      <c r="P38" s="60" t="s">
        <v>305</v>
      </c>
      <c r="Q38" s="60" t="s">
        <v>219</v>
      </c>
      <c r="R38" s="717">
        <v>500000</v>
      </c>
      <c r="S38" s="62"/>
      <c r="T38" s="63"/>
      <c r="U38" s="64" t="s">
        <v>163</v>
      </c>
      <c r="V38" s="64">
        <v>26723</v>
      </c>
      <c r="W38" s="776">
        <v>500000</v>
      </c>
      <c r="X38" s="804">
        <v>130823</v>
      </c>
      <c r="Y38" s="776">
        <v>500000</v>
      </c>
      <c r="Z38" s="788">
        <f t="shared" si="1"/>
        <v>0</v>
      </c>
    </row>
    <row r="39" spans="2:26" ht="30.75" customHeight="1" x14ac:dyDescent="0.2">
      <c r="B39" s="321"/>
      <c r="C39" s="93"/>
      <c r="D39" s="93"/>
      <c r="E39" s="93"/>
      <c r="F39" s="93"/>
      <c r="G39" s="93"/>
      <c r="H39" s="93"/>
      <c r="I39" s="93"/>
      <c r="J39" s="344"/>
      <c r="K39" s="344" t="s">
        <v>106265</v>
      </c>
      <c r="L39" s="679" t="s">
        <v>324</v>
      </c>
      <c r="M39" s="129" t="s">
        <v>192</v>
      </c>
      <c r="N39" s="59">
        <v>45047</v>
      </c>
      <c r="O39" s="59" t="s">
        <v>325</v>
      </c>
      <c r="P39" s="60" t="s">
        <v>326</v>
      </c>
      <c r="Q39" s="60" t="s">
        <v>425</v>
      </c>
      <c r="R39" s="717">
        <f>45000000+31600000+10000000+2400000</f>
        <v>89000000</v>
      </c>
      <c r="S39" s="62"/>
      <c r="T39" s="63"/>
      <c r="U39" s="64" t="s">
        <v>401</v>
      </c>
      <c r="V39" s="64">
        <v>79423</v>
      </c>
      <c r="W39" s="776">
        <f>88880000+120000</f>
        <v>89000000</v>
      </c>
      <c r="X39" s="804"/>
      <c r="Y39" s="776"/>
      <c r="Z39" s="788">
        <f t="shared" si="1"/>
        <v>-89000000</v>
      </c>
    </row>
    <row r="40" spans="2:26"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5">
        <f>SUM(R41:R42)</f>
        <v>286800000</v>
      </c>
      <c r="S40" s="212"/>
      <c r="T40" s="212"/>
      <c r="U40" s="49"/>
      <c r="V40" s="49"/>
      <c r="W40" s="773"/>
      <c r="X40" s="800"/>
      <c r="Y40" s="773"/>
      <c r="Z40" s="787"/>
    </row>
    <row r="41" spans="2:26" ht="39" customHeight="1" x14ac:dyDescent="0.2">
      <c r="B41" s="321"/>
      <c r="C41" s="93"/>
      <c r="D41" s="93"/>
      <c r="E41" s="93"/>
      <c r="F41" s="93"/>
      <c r="G41" s="93"/>
      <c r="H41" s="93"/>
      <c r="I41" s="93"/>
      <c r="J41" s="344"/>
      <c r="K41" s="344" t="s">
        <v>106266</v>
      </c>
      <c r="L41" s="679" t="s">
        <v>309</v>
      </c>
      <c r="M41" s="129" t="s">
        <v>157</v>
      </c>
      <c r="N41" s="59">
        <v>45107</v>
      </c>
      <c r="O41" s="59" t="s">
        <v>325</v>
      </c>
      <c r="P41" s="60" t="s">
        <v>319</v>
      </c>
      <c r="Q41" s="60" t="s">
        <v>425</v>
      </c>
      <c r="R41" s="717">
        <f>72200000+20000000+12000000</f>
        <v>104200000</v>
      </c>
      <c r="S41" s="62"/>
      <c r="T41" s="63"/>
      <c r="U41" s="64" t="s">
        <v>163</v>
      </c>
      <c r="V41" s="64">
        <v>34923</v>
      </c>
      <c r="W41" s="776">
        <v>104200000</v>
      </c>
      <c r="X41" s="804"/>
      <c r="Y41" s="776">
        <v>42944535.450000003</v>
      </c>
      <c r="Z41" s="788">
        <f t="shared" si="1"/>
        <v>-61255464.549999997</v>
      </c>
    </row>
    <row r="42" spans="2:26" ht="39" customHeight="1" x14ac:dyDescent="0.2">
      <c r="B42" s="321"/>
      <c r="C42" s="93"/>
      <c r="D42" s="93"/>
      <c r="E42" s="93"/>
      <c r="F42" s="93"/>
      <c r="G42" s="93"/>
      <c r="H42" s="93"/>
      <c r="I42" s="93"/>
      <c r="J42" s="344"/>
      <c r="K42" s="344" t="s">
        <v>106266</v>
      </c>
      <c r="L42" s="679" t="s">
        <v>324</v>
      </c>
      <c r="M42" s="129" t="s">
        <v>193</v>
      </c>
      <c r="N42" s="59">
        <v>45047</v>
      </c>
      <c r="O42" s="59" t="s">
        <v>325</v>
      </c>
      <c r="P42" s="60" t="s">
        <v>326</v>
      </c>
      <c r="Q42" s="60" t="s">
        <v>425</v>
      </c>
      <c r="R42" s="717">
        <f>185000000-185000000+185000000-2400000</f>
        <v>182600000</v>
      </c>
      <c r="S42" s="62"/>
      <c r="T42" s="63"/>
      <c r="U42" s="64" t="s">
        <v>401</v>
      </c>
      <c r="V42" s="64">
        <v>79423</v>
      </c>
      <c r="W42" s="776">
        <v>182600000</v>
      </c>
      <c r="X42" s="804"/>
      <c r="Y42" s="776"/>
      <c r="Z42" s="788">
        <f t="shared" si="1"/>
        <v>-182600000</v>
      </c>
    </row>
    <row r="43" spans="2:26" ht="30" customHeight="1" x14ac:dyDescent="0.2">
      <c r="B43" s="199" t="s">
        <v>7</v>
      </c>
      <c r="C43" s="199" t="s">
        <v>20</v>
      </c>
      <c r="D43" s="199" t="s">
        <v>20</v>
      </c>
      <c r="E43" s="199" t="s">
        <v>8</v>
      </c>
      <c r="F43" s="199" t="s">
        <v>11</v>
      </c>
      <c r="G43" s="199"/>
      <c r="H43" s="199"/>
      <c r="I43" s="199"/>
      <c r="J43" s="199"/>
      <c r="K43" s="840"/>
      <c r="L43" s="329"/>
      <c r="M43" s="233" t="s">
        <v>54</v>
      </c>
      <c r="N43" s="41"/>
      <c r="O43" s="41"/>
      <c r="P43" s="42"/>
      <c r="Q43" s="42"/>
      <c r="R43" s="714">
        <f>+R44+R50+R55+R60+R67</f>
        <v>289200000</v>
      </c>
      <c r="S43" s="211"/>
      <c r="T43" s="211"/>
      <c r="U43" s="43"/>
      <c r="V43" s="43"/>
      <c r="W43" s="773"/>
      <c r="X43" s="800"/>
      <c r="Y43" s="773"/>
      <c r="Z43" s="787"/>
    </row>
    <row r="44" spans="2:26"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5">
        <f>+R45+R48</f>
        <v>65000000</v>
      </c>
      <c r="S44" s="212"/>
      <c r="T44" s="212"/>
      <c r="U44" s="49"/>
      <c r="V44" s="49"/>
      <c r="W44" s="773"/>
      <c r="X44" s="800"/>
      <c r="Y44" s="773"/>
      <c r="Z44" s="787"/>
    </row>
    <row r="45" spans="2:26"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6">
        <f>SUM(R46:R47)</f>
        <v>59500000</v>
      </c>
      <c r="S45" s="213"/>
      <c r="T45" s="213"/>
      <c r="U45" s="71"/>
      <c r="V45" s="71"/>
      <c r="W45" s="773"/>
      <c r="X45" s="800"/>
      <c r="Y45" s="773"/>
      <c r="Z45" s="787"/>
    </row>
    <row r="46" spans="2:26" ht="45" customHeight="1" x14ac:dyDescent="0.2">
      <c r="B46" s="321"/>
      <c r="C46" s="93"/>
      <c r="D46" s="93"/>
      <c r="E46" s="93"/>
      <c r="F46" s="93"/>
      <c r="G46" s="93"/>
      <c r="H46" s="93"/>
      <c r="I46" s="93"/>
      <c r="J46" s="344"/>
      <c r="K46" s="344" t="str">
        <f>B44&amp;"-"&amp;C44&amp;"-"&amp;D44&amp;"-"&amp;E44&amp;"-"&amp;F44&amp;"-"&amp;G44</f>
        <v>A-02-02-01-003-002</v>
      </c>
      <c r="L46" s="679" t="s">
        <v>229</v>
      </c>
      <c r="M46" s="129" t="s">
        <v>310</v>
      </c>
      <c r="N46" s="59">
        <v>44972</v>
      </c>
      <c r="O46" s="59" t="s">
        <v>256</v>
      </c>
      <c r="P46" s="60" t="s">
        <v>305</v>
      </c>
      <c r="Q46" s="60" t="s">
        <v>219</v>
      </c>
      <c r="R46" s="717">
        <v>14500000</v>
      </c>
      <c r="S46" s="62"/>
      <c r="T46" s="63"/>
      <c r="U46" s="64" t="s">
        <v>163</v>
      </c>
      <c r="V46" s="64">
        <v>26723</v>
      </c>
      <c r="W46" s="776">
        <v>14500000</v>
      </c>
      <c r="X46" s="804">
        <v>130823</v>
      </c>
      <c r="Y46" s="776">
        <v>14500000</v>
      </c>
      <c r="Z46" s="788">
        <f t="shared" si="1"/>
        <v>0</v>
      </c>
    </row>
    <row r="47" spans="2:26" ht="51.75" customHeight="1" x14ac:dyDescent="0.2">
      <c r="B47" s="321"/>
      <c r="C47" s="93"/>
      <c r="D47" s="93"/>
      <c r="E47" s="93"/>
      <c r="F47" s="93"/>
      <c r="G47" s="93"/>
      <c r="H47" s="93"/>
      <c r="I47" s="93"/>
      <c r="J47" s="344"/>
      <c r="K47" s="344" t="str">
        <f>B45&amp;"-"&amp;C45&amp;"-"&amp;D45&amp;"-"&amp;E45&amp;"-"&amp;F45&amp;"-"&amp;G45</f>
        <v>A-02-02-01-003-002</v>
      </c>
      <c r="L47" s="679" t="s">
        <v>287</v>
      </c>
      <c r="M47" s="58" t="s">
        <v>165</v>
      </c>
      <c r="N47" s="59">
        <v>45015</v>
      </c>
      <c r="O47" s="59" t="s">
        <v>315</v>
      </c>
      <c r="P47" s="60" t="s">
        <v>316</v>
      </c>
      <c r="Q47" s="60" t="s">
        <v>219</v>
      </c>
      <c r="R47" s="717">
        <v>45000000</v>
      </c>
      <c r="S47" s="62"/>
      <c r="T47" s="63"/>
      <c r="U47" s="64" t="s">
        <v>167</v>
      </c>
      <c r="V47" s="64">
        <v>25423</v>
      </c>
      <c r="W47" s="776">
        <v>45000000</v>
      </c>
      <c r="X47" s="804">
        <v>111023</v>
      </c>
      <c r="Y47" s="776">
        <v>45000000</v>
      </c>
      <c r="Z47" s="788">
        <f t="shared" si="1"/>
        <v>0</v>
      </c>
    </row>
    <row r="48" spans="2:26"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6">
        <f>SUM(R49:R49)</f>
        <v>5500000</v>
      </c>
      <c r="S48" s="213"/>
      <c r="T48" s="213"/>
      <c r="U48" s="71"/>
      <c r="V48" s="71"/>
      <c r="W48" s="773"/>
      <c r="X48" s="800"/>
      <c r="Y48" s="773"/>
      <c r="Z48" s="787"/>
    </row>
    <row r="49" spans="2:26" ht="15" customHeight="1" x14ac:dyDescent="0.2">
      <c r="B49" s="321"/>
      <c r="C49" s="93"/>
      <c r="D49" s="93"/>
      <c r="E49" s="93"/>
      <c r="F49" s="93"/>
      <c r="G49" s="93"/>
      <c r="H49" s="93"/>
      <c r="I49" s="93"/>
      <c r="J49" s="344"/>
      <c r="K49" s="344" t="s">
        <v>106267</v>
      </c>
      <c r="L49" s="328"/>
      <c r="M49" s="58" t="s">
        <v>170</v>
      </c>
      <c r="N49" s="59" t="s">
        <v>231</v>
      </c>
      <c r="O49" s="59" t="s">
        <v>231</v>
      </c>
      <c r="P49" s="59" t="s">
        <v>231</v>
      </c>
      <c r="Q49" s="59" t="s">
        <v>231</v>
      </c>
      <c r="R49" s="717">
        <v>5500000</v>
      </c>
      <c r="S49" s="62"/>
      <c r="T49" s="63"/>
      <c r="U49" s="64" t="s">
        <v>106165</v>
      </c>
      <c r="V49" s="58" t="s">
        <v>106228</v>
      </c>
      <c r="W49" s="776">
        <f>1100000+508626+133660+124419+152459+165013+38400+154</f>
        <v>2222731</v>
      </c>
      <c r="X49" s="801" t="s">
        <v>106229</v>
      </c>
      <c r="Y49" s="776">
        <v>2222731</v>
      </c>
      <c r="Z49" s="788">
        <f t="shared" si="1"/>
        <v>-3277269</v>
      </c>
    </row>
    <row r="50" spans="2:26"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5">
        <f>+R51+R53</f>
        <v>46000000</v>
      </c>
      <c r="S50" s="212"/>
      <c r="T50" s="212"/>
      <c r="U50" s="49"/>
      <c r="V50" s="49"/>
      <c r="W50" s="773"/>
      <c r="X50" s="800"/>
      <c r="Y50" s="773"/>
      <c r="Z50" s="787"/>
    </row>
    <row r="51" spans="2:26"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6">
        <f>+R52</f>
        <v>6000000</v>
      </c>
      <c r="S51" s="213"/>
      <c r="T51" s="213"/>
      <c r="U51" s="71"/>
      <c r="V51" s="71"/>
      <c r="W51" s="773"/>
      <c r="X51" s="800"/>
      <c r="Y51" s="773"/>
      <c r="Z51" s="787"/>
    </row>
    <row r="52" spans="2:26"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7">
        <v>6000000</v>
      </c>
      <c r="S52" s="62"/>
      <c r="T52" s="63"/>
      <c r="U52" s="64" t="s">
        <v>358</v>
      </c>
      <c r="V52" s="64">
        <v>19623</v>
      </c>
      <c r="W52" s="776">
        <v>4000000</v>
      </c>
      <c r="X52" s="804">
        <v>66923</v>
      </c>
      <c r="Y52" s="776">
        <v>4000000</v>
      </c>
      <c r="Z52" s="788">
        <f t="shared" si="1"/>
        <v>-2000000</v>
      </c>
    </row>
    <row r="53" spans="2:26"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6">
        <f>+R54</f>
        <v>40000000</v>
      </c>
      <c r="S53" s="213"/>
      <c r="T53" s="213"/>
      <c r="U53" s="71"/>
      <c r="V53" s="71"/>
      <c r="W53" s="773"/>
      <c r="X53" s="800"/>
      <c r="Y53" s="773"/>
      <c r="Z53" s="787"/>
    </row>
    <row r="54" spans="2:26" ht="30" customHeight="1" x14ac:dyDescent="0.2">
      <c r="B54" s="321"/>
      <c r="C54" s="93"/>
      <c r="D54" s="93"/>
      <c r="E54" s="93"/>
      <c r="F54" s="93"/>
      <c r="G54" s="93"/>
      <c r="H54" s="93"/>
      <c r="I54" s="93"/>
      <c r="J54" s="344"/>
      <c r="K54" s="344" t="s">
        <v>106268</v>
      </c>
      <c r="L54" s="328">
        <v>15121500</v>
      </c>
      <c r="M54" s="100" t="s">
        <v>359</v>
      </c>
      <c r="N54" s="59">
        <v>44576</v>
      </c>
      <c r="O54" s="59" t="s">
        <v>259</v>
      </c>
      <c r="P54" s="60" t="s">
        <v>234</v>
      </c>
      <c r="Q54" s="60" t="s">
        <v>426</v>
      </c>
      <c r="R54" s="717">
        <v>40000000</v>
      </c>
      <c r="S54" s="62"/>
      <c r="T54" s="63"/>
      <c r="U54" s="64" t="s">
        <v>358</v>
      </c>
      <c r="V54" s="64">
        <v>4923</v>
      </c>
      <c r="W54" s="776">
        <v>40000000</v>
      </c>
      <c r="X54" s="804">
        <v>22923</v>
      </c>
      <c r="Y54" s="776">
        <v>40000000</v>
      </c>
      <c r="Z54" s="788">
        <f t="shared" si="1"/>
        <v>0</v>
      </c>
    </row>
    <row r="55" spans="2:26"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5">
        <f>+R56+R58</f>
        <v>83000000</v>
      </c>
      <c r="S55" s="212"/>
      <c r="T55" s="212"/>
      <c r="U55" s="49"/>
      <c r="V55" s="49"/>
      <c r="W55" s="773"/>
      <c r="X55" s="800"/>
      <c r="Y55" s="773"/>
      <c r="Z55" s="787"/>
    </row>
    <row r="56" spans="2:26"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6">
        <f>+R57</f>
        <v>65000000</v>
      </c>
      <c r="S56" s="213"/>
      <c r="T56" s="213"/>
      <c r="U56" s="71"/>
      <c r="V56" s="71"/>
      <c r="W56" s="773"/>
      <c r="X56" s="800"/>
      <c r="Y56" s="773"/>
      <c r="Z56" s="787"/>
    </row>
    <row r="57" spans="2:26" ht="15" customHeight="1" x14ac:dyDescent="0.2">
      <c r="B57" s="321"/>
      <c r="C57" s="93"/>
      <c r="D57" s="93"/>
      <c r="E57" s="93"/>
      <c r="F57" s="93"/>
      <c r="G57" s="93"/>
      <c r="H57" s="93"/>
      <c r="I57" s="93"/>
      <c r="J57" s="344"/>
      <c r="K57" s="344" t="str">
        <f>B55&amp;"-"&amp;C55&amp;"-"&amp;D55&amp;"-"&amp;E55&amp;"-"&amp;F55&amp;"-"&amp;G55</f>
        <v>A-02-02-01-003-005</v>
      </c>
      <c r="L57" s="679">
        <v>44103100</v>
      </c>
      <c r="M57" s="58" t="s">
        <v>106095</v>
      </c>
      <c r="N57" s="59">
        <v>44958</v>
      </c>
      <c r="O57" s="59" t="s">
        <v>256</v>
      </c>
      <c r="P57" s="60" t="s">
        <v>338</v>
      </c>
      <c r="Q57" s="60" t="s">
        <v>236</v>
      </c>
      <c r="R57" s="719">
        <v>65000000</v>
      </c>
      <c r="S57" s="62"/>
      <c r="T57" s="63"/>
      <c r="U57" s="64" t="s">
        <v>156</v>
      </c>
      <c r="V57" s="64">
        <v>24723</v>
      </c>
      <c r="W57" s="776">
        <v>65000000</v>
      </c>
      <c r="X57" s="801" t="s">
        <v>106230</v>
      </c>
      <c r="Y57" s="776">
        <v>65000000</v>
      </c>
      <c r="Z57" s="788">
        <f t="shared" si="1"/>
        <v>0</v>
      </c>
    </row>
    <row r="58" spans="2:26"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6">
        <f>+R59</f>
        <v>18000000</v>
      </c>
      <c r="S58" s="213"/>
      <c r="T58" s="213"/>
      <c r="U58" s="71"/>
      <c r="V58" s="71"/>
      <c r="W58" s="773"/>
      <c r="X58" s="800"/>
      <c r="Y58" s="773"/>
      <c r="Z58" s="787"/>
    </row>
    <row r="59" spans="2:26" ht="30" customHeight="1" x14ac:dyDescent="0.2">
      <c r="B59" s="321"/>
      <c r="C59" s="93"/>
      <c r="D59" s="93"/>
      <c r="E59" s="93"/>
      <c r="F59" s="93"/>
      <c r="G59" s="93"/>
      <c r="H59" s="93"/>
      <c r="I59" s="93"/>
      <c r="J59" s="344"/>
      <c r="K59" s="344" t="s">
        <v>106269</v>
      </c>
      <c r="L59" s="679" t="s">
        <v>233</v>
      </c>
      <c r="M59" s="58" t="s">
        <v>311</v>
      </c>
      <c r="N59" s="59">
        <v>44972</v>
      </c>
      <c r="O59" s="59" t="s">
        <v>256</v>
      </c>
      <c r="P59" s="60" t="s">
        <v>305</v>
      </c>
      <c r="Q59" s="60" t="s">
        <v>219</v>
      </c>
      <c r="R59" s="717">
        <v>18000000</v>
      </c>
      <c r="S59" s="62"/>
      <c r="T59" s="63"/>
      <c r="U59" s="64" t="s">
        <v>163</v>
      </c>
      <c r="V59" s="64">
        <v>26723</v>
      </c>
      <c r="W59" s="776">
        <v>18000000</v>
      </c>
      <c r="X59" s="804">
        <v>130823</v>
      </c>
      <c r="Y59" s="776">
        <v>18000000</v>
      </c>
      <c r="Z59" s="788">
        <f t="shared" si="1"/>
        <v>0</v>
      </c>
    </row>
    <row r="60" spans="2:26"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5">
        <f>+R61+R63+R65</f>
        <v>65400000</v>
      </c>
      <c r="S60" s="212"/>
      <c r="T60" s="212"/>
      <c r="U60" s="49"/>
      <c r="V60" s="49"/>
      <c r="W60" s="773"/>
      <c r="X60" s="800"/>
      <c r="Y60" s="773"/>
      <c r="Z60" s="787"/>
    </row>
    <row r="61" spans="2:26"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6">
        <f>+R62</f>
        <v>10000000</v>
      </c>
      <c r="S61" s="213"/>
      <c r="T61" s="213"/>
      <c r="U61" s="71"/>
      <c r="V61" s="71"/>
      <c r="W61" s="773"/>
      <c r="X61" s="800"/>
      <c r="Y61" s="773"/>
      <c r="Z61" s="787"/>
    </row>
    <row r="62" spans="2:26"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7">
        <v>10000000</v>
      </c>
      <c r="S62" s="62"/>
      <c r="T62" s="63"/>
      <c r="U62" s="64" t="s">
        <v>358</v>
      </c>
      <c r="V62" s="64"/>
      <c r="W62" s="776"/>
      <c r="X62" s="804"/>
      <c r="Y62" s="776"/>
      <c r="Z62" s="788">
        <f t="shared" si="1"/>
        <v>-10000000</v>
      </c>
    </row>
    <row r="63" spans="2:26"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6">
        <f>+R64</f>
        <v>45400000</v>
      </c>
      <c r="S63" s="213"/>
      <c r="T63" s="213"/>
      <c r="U63" s="71"/>
      <c r="V63" s="71"/>
      <c r="W63" s="773"/>
      <c r="X63" s="800"/>
      <c r="Y63" s="773"/>
      <c r="Z63" s="787"/>
    </row>
    <row r="64" spans="2:26" ht="35.25" customHeight="1" x14ac:dyDescent="0.2">
      <c r="B64" s="321"/>
      <c r="C64" s="93"/>
      <c r="D64" s="93"/>
      <c r="E64" s="93"/>
      <c r="F64" s="93"/>
      <c r="G64" s="93"/>
      <c r="H64" s="93"/>
      <c r="I64" s="93"/>
      <c r="J64" s="344"/>
      <c r="K64" s="344" t="s">
        <v>106270</v>
      </c>
      <c r="L64" s="682" t="s">
        <v>324</v>
      </c>
      <c r="M64" s="575" t="s">
        <v>194</v>
      </c>
      <c r="N64" s="2">
        <v>45047</v>
      </c>
      <c r="O64" s="59" t="s">
        <v>325</v>
      </c>
      <c r="P64" s="60" t="s">
        <v>326</v>
      </c>
      <c r="Q64" s="60" t="s">
        <v>425</v>
      </c>
      <c r="R64" s="717">
        <f>77000000-31600000</f>
        <v>45400000</v>
      </c>
      <c r="S64" s="62"/>
      <c r="T64" s="63"/>
      <c r="U64" s="64" t="s">
        <v>401</v>
      </c>
      <c r="V64" s="64">
        <v>79423</v>
      </c>
      <c r="W64" s="776">
        <v>45400000</v>
      </c>
      <c r="X64" s="804"/>
      <c r="Y64" s="776"/>
      <c r="Z64" s="788">
        <f t="shared" si="1"/>
        <v>-45400000</v>
      </c>
    </row>
    <row r="65" spans="1:26"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8">
        <f>+R66</f>
        <v>10000000</v>
      </c>
      <c r="S65" s="214"/>
      <c r="T65" s="214"/>
      <c r="U65" s="81"/>
      <c r="V65" s="81"/>
      <c r="W65" s="773"/>
      <c r="X65" s="800"/>
      <c r="Y65" s="773"/>
      <c r="Z65" s="787"/>
    </row>
    <row r="66" spans="1:26" ht="42.75" customHeight="1" x14ac:dyDescent="0.2">
      <c r="B66" s="321"/>
      <c r="C66" s="93"/>
      <c r="D66" s="93"/>
      <c r="E66" s="93"/>
      <c r="F66" s="93"/>
      <c r="G66" s="93"/>
      <c r="H66" s="93"/>
      <c r="I66" s="93"/>
      <c r="J66" s="344"/>
      <c r="K66" s="344" t="s">
        <v>106270</v>
      </c>
      <c r="L66" s="679" t="s">
        <v>232</v>
      </c>
      <c r="M66" s="58" t="s">
        <v>312</v>
      </c>
      <c r="N66" s="59">
        <v>44972</v>
      </c>
      <c r="O66" s="59" t="s">
        <v>256</v>
      </c>
      <c r="P66" s="60" t="s">
        <v>305</v>
      </c>
      <c r="Q66" s="60" t="s">
        <v>219</v>
      </c>
      <c r="R66" s="717">
        <v>10000000</v>
      </c>
      <c r="S66" s="62"/>
      <c r="T66" s="63"/>
      <c r="U66" s="64" t="s">
        <v>163</v>
      </c>
      <c r="V66" s="64">
        <v>26723</v>
      </c>
      <c r="W66" s="776">
        <v>10000000</v>
      </c>
      <c r="X66" s="804">
        <v>130823</v>
      </c>
      <c r="Y66" s="776">
        <v>10000000</v>
      </c>
      <c r="Z66" s="788">
        <f t="shared" si="1"/>
        <v>0</v>
      </c>
    </row>
    <row r="67" spans="1:26"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5">
        <f>+R68</f>
        <v>29800000</v>
      </c>
      <c r="S67" s="212"/>
      <c r="T67" s="212"/>
      <c r="U67" s="49"/>
      <c r="V67" s="49"/>
      <c r="W67" s="773"/>
      <c r="X67" s="800"/>
      <c r="Y67" s="773"/>
      <c r="Z67" s="787"/>
    </row>
    <row r="68" spans="1:26"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8">
        <f>+R69</f>
        <v>29800000</v>
      </c>
      <c r="S68" s="214"/>
      <c r="T68" s="214"/>
      <c r="U68" s="81"/>
      <c r="V68" s="81"/>
      <c r="W68" s="773"/>
      <c r="X68" s="800"/>
      <c r="Y68" s="773"/>
      <c r="Z68" s="787"/>
    </row>
    <row r="69" spans="1:26"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7">
        <v>29800000</v>
      </c>
      <c r="S69" s="62"/>
      <c r="T69" s="64"/>
      <c r="U69" s="64" t="s">
        <v>106165</v>
      </c>
      <c r="V69" s="58" t="s">
        <v>106231</v>
      </c>
      <c r="W69" s="776">
        <v>13032268.380000001</v>
      </c>
      <c r="X69" s="801" t="s">
        <v>106232</v>
      </c>
      <c r="Y69" s="776">
        <v>12667567.380000001</v>
      </c>
      <c r="Z69" s="788">
        <f t="shared" si="1"/>
        <v>-17132432.619999997</v>
      </c>
    </row>
    <row r="70" spans="1:26" ht="15" customHeight="1" x14ac:dyDescent="0.2">
      <c r="B70" s="199" t="s">
        <v>7</v>
      </c>
      <c r="C70" s="199" t="s">
        <v>20</v>
      </c>
      <c r="D70" s="199" t="s">
        <v>20</v>
      </c>
      <c r="E70" s="199" t="s">
        <v>8</v>
      </c>
      <c r="F70" s="199" t="s">
        <v>12</v>
      </c>
      <c r="G70" s="199"/>
      <c r="H70" s="199"/>
      <c r="I70" s="199"/>
      <c r="J70" s="199"/>
      <c r="K70" s="840"/>
      <c r="L70" s="329"/>
      <c r="M70" s="233" t="s">
        <v>67</v>
      </c>
      <c r="N70" s="41"/>
      <c r="O70" s="41"/>
      <c r="P70" s="42"/>
      <c r="Q70" s="42"/>
      <c r="R70" s="714">
        <f>+R71+R74+R78+R85</f>
        <v>271228063.36000001</v>
      </c>
      <c r="S70" s="211"/>
      <c r="T70" s="211"/>
      <c r="U70" s="43"/>
      <c r="V70" s="43"/>
      <c r="W70" s="773"/>
      <c r="X70" s="800"/>
      <c r="Y70" s="773"/>
      <c r="Z70" s="787"/>
    </row>
    <row r="71" spans="1:26"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5">
        <f>+R72</f>
        <v>20000000</v>
      </c>
      <c r="S71" s="212"/>
      <c r="T71" s="212"/>
      <c r="U71" s="49"/>
      <c r="V71" s="49"/>
      <c r="W71" s="773"/>
      <c r="X71" s="800"/>
      <c r="Y71" s="773"/>
      <c r="Z71" s="787"/>
    </row>
    <row r="72" spans="1:26"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6">
        <f>+R73</f>
        <v>20000000</v>
      </c>
      <c r="S72" s="213"/>
      <c r="T72" s="213"/>
      <c r="U72" s="71"/>
      <c r="V72" s="71"/>
      <c r="W72" s="773"/>
      <c r="X72" s="800"/>
      <c r="Y72" s="773"/>
      <c r="Z72" s="787"/>
    </row>
    <row r="73" spans="1:26" ht="34.5" customHeight="1" x14ac:dyDescent="0.2">
      <c r="B73" s="321"/>
      <c r="C73" s="93"/>
      <c r="D73" s="93"/>
      <c r="E73" s="93"/>
      <c r="F73" s="93"/>
      <c r="G73" s="93"/>
      <c r="H73" s="93"/>
      <c r="I73" s="93"/>
      <c r="J73" s="344"/>
      <c r="K73" s="344" t="str">
        <f>B71&amp;"-"&amp;C71&amp;"-"&amp;D71&amp;"-"&amp;E71&amp;"-"&amp;F71&amp;"-"&amp;G71</f>
        <v>A-02-02-01-004-004</v>
      </c>
      <c r="L73" s="679" t="s">
        <v>106028</v>
      </c>
      <c r="M73" s="58" t="s">
        <v>472</v>
      </c>
      <c r="N73" s="59">
        <v>44970</v>
      </c>
      <c r="O73" s="59" t="s">
        <v>256</v>
      </c>
      <c r="P73" s="60" t="s">
        <v>316</v>
      </c>
      <c r="Q73" s="60" t="s">
        <v>426</v>
      </c>
      <c r="R73" s="717">
        <v>20000000</v>
      </c>
      <c r="S73" s="62"/>
      <c r="T73" s="63"/>
      <c r="U73" s="64" t="s">
        <v>401</v>
      </c>
      <c r="V73" s="64">
        <v>22423</v>
      </c>
      <c r="W73" s="776">
        <v>20000000</v>
      </c>
      <c r="X73" s="804">
        <v>75923</v>
      </c>
      <c r="Y73" s="776">
        <v>11623798</v>
      </c>
      <c r="Z73" s="788">
        <f t="shared" si="1"/>
        <v>-8376202</v>
      </c>
    </row>
    <row r="74" spans="1:26"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5">
        <f>+R75</f>
        <v>2483187.5</v>
      </c>
      <c r="S74" s="212"/>
      <c r="T74" s="212"/>
      <c r="U74" s="49"/>
      <c r="V74" s="49"/>
      <c r="W74" s="773"/>
      <c r="X74" s="800"/>
      <c r="Y74" s="773"/>
      <c r="Z74" s="787"/>
    </row>
    <row r="75" spans="1:26"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6">
        <f>SUM(R76:R77)</f>
        <v>2483187.5</v>
      </c>
      <c r="S75" s="213"/>
      <c r="T75" s="213"/>
      <c r="U75" s="71"/>
      <c r="V75" s="71"/>
      <c r="W75" s="773"/>
      <c r="X75" s="800"/>
      <c r="Y75" s="773"/>
      <c r="Z75" s="787"/>
    </row>
    <row r="76" spans="1:26" ht="19.5" customHeight="1" x14ac:dyDescent="0.2">
      <c r="B76" s="321"/>
      <c r="C76" s="93"/>
      <c r="D76" s="93"/>
      <c r="E76" s="93"/>
      <c r="F76" s="93"/>
      <c r="G76" s="93"/>
      <c r="H76" s="93"/>
      <c r="I76" s="93"/>
      <c r="J76" s="344"/>
      <c r="K76" s="344" t="str">
        <f>B74&amp;"-"&amp;C74&amp;"-"&amp;D74&amp;"-"&amp;E74&amp;"-"&amp;F74&amp;"-"&amp;G74</f>
        <v>A-02-02-01-004-005</v>
      </c>
      <c r="L76" s="679">
        <v>43233200</v>
      </c>
      <c r="M76" s="58" t="s">
        <v>152</v>
      </c>
      <c r="N76" s="59">
        <v>44935</v>
      </c>
      <c r="O76" s="59" t="s">
        <v>259</v>
      </c>
      <c r="P76" s="60" t="s">
        <v>338</v>
      </c>
      <c r="Q76" s="60" t="s">
        <v>210</v>
      </c>
      <c r="R76" s="717">
        <f>4800000-2316812.5</f>
        <v>2483187.5</v>
      </c>
      <c r="S76" s="62"/>
      <c r="T76" s="63"/>
      <c r="U76" s="64" t="s">
        <v>156</v>
      </c>
      <c r="V76" s="64">
        <v>5123</v>
      </c>
      <c r="W76" s="776">
        <v>2483187.5</v>
      </c>
      <c r="X76" s="801" t="s">
        <v>106233</v>
      </c>
      <c r="Y76" s="776">
        <v>2483187.5</v>
      </c>
      <c r="Z76" s="788">
        <f t="shared" si="1"/>
        <v>0</v>
      </c>
    </row>
    <row r="77" spans="1:26" ht="36" customHeight="1" x14ac:dyDescent="0.2">
      <c r="B77" s="321"/>
      <c r="C77" s="93"/>
      <c r="D77" s="93"/>
      <c r="E77" s="93"/>
      <c r="F77" s="93"/>
      <c r="G77" s="93"/>
      <c r="H77" s="93"/>
      <c r="I77" s="93"/>
      <c r="J77" s="344"/>
      <c r="K77" s="344" t="s">
        <v>106271</v>
      </c>
      <c r="L77" s="679">
        <v>43233200</v>
      </c>
      <c r="M77" s="58" t="s">
        <v>106181</v>
      </c>
      <c r="N77" s="59">
        <v>44941</v>
      </c>
      <c r="O77" s="59" t="s">
        <v>259</v>
      </c>
      <c r="P77" s="60" t="s">
        <v>234</v>
      </c>
      <c r="Q77" s="60" t="s">
        <v>221</v>
      </c>
      <c r="R77" s="717">
        <f>31000000+2772000-33000000+16643313.36-17415313.36</f>
        <v>0</v>
      </c>
      <c r="S77" s="62"/>
      <c r="T77" s="63"/>
      <c r="U77" s="64" t="s">
        <v>263</v>
      </c>
      <c r="V77" s="64"/>
      <c r="W77" s="776"/>
      <c r="X77" s="804"/>
      <c r="Y77" s="776"/>
      <c r="Z77" s="788">
        <f t="shared" si="1"/>
        <v>0</v>
      </c>
    </row>
    <row r="78" spans="1:26"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5">
        <f>+R79</f>
        <v>239744875.86000001</v>
      </c>
      <c r="S78" s="212"/>
      <c r="T78" s="212"/>
      <c r="U78" s="49"/>
      <c r="V78" s="49"/>
      <c r="W78" s="773"/>
      <c r="X78" s="800"/>
      <c r="Y78" s="773"/>
      <c r="Z78" s="787"/>
    </row>
    <row r="79" spans="1:26"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6">
        <f>SUM(R80:R84)</f>
        <v>239744875.86000001</v>
      </c>
      <c r="S79" s="213"/>
      <c r="T79" s="213"/>
      <c r="U79" s="71"/>
      <c r="V79" s="71"/>
      <c r="W79" s="773"/>
      <c r="X79" s="800"/>
      <c r="Y79" s="773"/>
      <c r="Z79" s="787"/>
    </row>
    <row r="80" spans="1:26" ht="30" customHeight="1" x14ac:dyDescent="0.2">
      <c r="A80" s="683"/>
      <c r="B80" s="321"/>
      <c r="C80" s="93"/>
      <c r="D80" s="93"/>
      <c r="E80" s="93"/>
      <c r="F80" s="93"/>
      <c r="G80" s="93"/>
      <c r="H80" s="93"/>
      <c r="I80" s="93"/>
      <c r="J80" s="344"/>
      <c r="K80" s="344" t="s">
        <v>106272</v>
      </c>
      <c r="L80" s="679" t="s">
        <v>106121</v>
      </c>
      <c r="M80" s="129" t="s">
        <v>150</v>
      </c>
      <c r="N80" s="59" t="s">
        <v>106116</v>
      </c>
      <c r="O80" s="59" t="s">
        <v>106116</v>
      </c>
      <c r="P80" s="60" t="s">
        <v>106116</v>
      </c>
      <c r="Q80" s="60" t="s">
        <v>106116</v>
      </c>
      <c r="R80" s="717">
        <v>0</v>
      </c>
      <c r="S80" s="62"/>
      <c r="T80" s="63"/>
      <c r="U80" s="64" t="s">
        <v>156</v>
      </c>
      <c r="V80" s="64"/>
      <c r="W80" s="776"/>
      <c r="X80" s="804"/>
      <c r="Y80" s="776"/>
      <c r="Z80" s="788">
        <f t="shared" ref="Z80:Z145" si="2">+Y80-R80</f>
        <v>0</v>
      </c>
    </row>
    <row r="81" spans="1:27" ht="30" customHeight="1" x14ac:dyDescent="0.2">
      <c r="A81" s="683"/>
      <c r="B81" s="321"/>
      <c r="C81" s="93"/>
      <c r="D81" s="93"/>
      <c r="E81" s="93"/>
      <c r="F81" s="93"/>
      <c r="G81" s="93"/>
      <c r="H81" s="93"/>
      <c r="I81" s="93"/>
      <c r="J81" s="344"/>
      <c r="K81" s="344" t="s">
        <v>106272</v>
      </c>
      <c r="L81" s="679">
        <v>43233200</v>
      </c>
      <c r="M81" s="58" t="s">
        <v>106181</v>
      </c>
      <c r="N81" s="59">
        <v>44941</v>
      </c>
      <c r="O81" s="59" t="s">
        <v>259</v>
      </c>
      <c r="P81" s="60" t="s">
        <v>234</v>
      </c>
      <c r="Q81" s="60" t="s">
        <v>221</v>
      </c>
      <c r="R81" s="717">
        <f>33000000+17415313.36</f>
        <v>50415313.359999999</v>
      </c>
      <c r="S81" s="62"/>
      <c r="T81" s="63"/>
      <c r="U81" s="64" t="s">
        <v>263</v>
      </c>
      <c r="V81" s="64">
        <v>30223</v>
      </c>
      <c r="W81" s="776">
        <v>49643313.359999999</v>
      </c>
      <c r="X81" s="801" t="s">
        <v>106234</v>
      </c>
      <c r="Y81" s="776">
        <v>48516300</v>
      </c>
      <c r="Z81" s="788">
        <f t="shared" si="2"/>
        <v>-1899013.3599999994</v>
      </c>
      <c r="AA81" s="783"/>
    </row>
    <row r="82" spans="1:27" ht="30" customHeight="1" x14ac:dyDescent="0.2">
      <c r="B82" s="321"/>
      <c r="C82" s="93"/>
      <c r="D82" s="93"/>
      <c r="E82" s="93"/>
      <c r="F82" s="93"/>
      <c r="G82" s="93"/>
      <c r="H82" s="93"/>
      <c r="I82" s="93"/>
      <c r="J82" s="344"/>
      <c r="K82" s="344" t="s">
        <v>106272</v>
      </c>
      <c r="L82" s="328">
        <v>43231500</v>
      </c>
      <c r="M82" s="58" t="s">
        <v>106143</v>
      </c>
      <c r="N82" s="59">
        <v>44990</v>
      </c>
      <c r="O82" s="59" t="s">
        <v>256</v>
      </c>
      <c r="P82" s="60" t="s">
        <v>326</v>
      </c>
      <c r="Q82" s="60" t="s">
        <v>425</v>
      </c>
      <c r="R82" s="717">
        <f>32000000+5000000+15000000</f>
        <v>52000000</v>
      </c>
      <c r="S82" s="684"/>
      <c r="T82" s="701"/>
      <c r="U82" s="64" t="s">
        <v>156</v>
      </c>
      <c r="V82" s="64">
        <v>63823</v>
      </c>
      <c r="W82" s="776">
        <v>52000000</v>
      </c>
      <c r="X82" s="804">
        <v>192623</v>
      </c>
      <c r="Y82" s="776">
        <v>28599350</v>
      </c>
      <c r="Z82" s="788">
        <f t="shared" si="2"/>
        <v>-23400650</v>
      </c>
      <c r="AA82" s="783"/>
    </row>
    <row r="83" spans="1:27" ht="30" customHeight="1" x14ac:dyDescent="0.2">
      <c r="B83" s="321"/>
      <c r="C83" s="93"/>
      <c r="D83" s="93"/>
      <c r="E83" s="93"/>
      <c r="F83" s="93"/>
      <c r="G83" s="93"/>
      <c r="H83" s="93"/>
      <c r="I83" s="93"/>
      <c r="J83" s="344"/>
      <c r="K83" s="344" t="s">
        <v>106272</v>
      </c>
      <c r="L83" s="328">
        <v>43231500</v>
      </c>
      <c r="M83" s="58" t="s">
        <v>106144</v>
      </c>
      <c r="N83" s="59">
        <v>45000</v>
      </c>
      <c r="O83" s="59" t="s">
        <v>315</v>
      </c>
      <c r="P83" s="60" t="s">
        <v>326</v>
      </c>
      <c r="Q83" s="60" t="s">
        <v>426</v>
      </c>
      <c r="R83" s="717">
        <v>117329562.5</v>
      </c>
      <c r="S83" s="768"/>
      <c r="T83" s="63"/>
      <c r="U83" s="64" t="s">
        <v>156</v>
      </c>
      <c r="V83" s="64">
        <v>34223</v>
      </c>
      <c r="W83" s="776">
        <v>117329562.5</v>
      </c>
      <c r="X83" s="804">
        <v>137623</v>
      </c>
      <c r="Y83" s="776">
        <v>97141848.609999999</v>
      </c>
      <c r="Z83" s="788">
        <f t="shared" si="2"/>
        <v>-20187713.890000001</v>
      </c>
    </row>
    <row r="84" spans="1:27" ht="30" customHeight="1" x14ac:dyDescent="0.2">
      <c r="B84" s="321"/>
      <c r="C84" s="93"/>
      <c r="D84" s="93"/>
      <c r="E84" s="93"/>
      <c r="F84" s="93"/>
      <c r="G84" s="93"/>
      <c r="H84" s="93"/>
      <c r="I84" s="93"/>
      <c r="J84" s="344"/>
      <c r="K84" s="344" t="s">
        <v>106272</v>
      </c>
      <c r="L84" s="328">
        <v>43231500</v>
      </c>
      <c r="M84" s="58" t="s">
        <v>106122</v>
      </c>
      <c r="N84" s="59">
        <v>44986</v>
      </c>
      <c r="O84" s="59" t="s">
        <v>315</v>
      </c>
      <c r="P84" s="60" t="s">
        <v>326</v>
      </c>
      <c r="Q84" s="60" t="s">
        <v>426</v>
      </c>
      <c r="R84" s="717">
        <f>25000000-5000000</f>
        <v>20000000</v>
      </c>
      <c r="S84" s="62"/>
      <c r="T84" s="63"/>
      <c r="U84" s="64" t="s">
        <v>156</v>
      </c>
      <c r="V84" s="64">
        <v>34323</v>
      </c>
      <c r="W84" s="776">
        <v>20000000</v>
      </c>
      <c r="X84" s="804"/>
      <c r="Y84" s="776"/>
      <c r="Z84" s="788">
        <f t="shared" si="2"/>
        <v>-20000000</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5">
        <f>+R86+R88</f>
        <v>9000000</v>
      </c>
      <c r="S85" s="212"/>
      <c r="T85" s="212"/>
      <c r="U85" s="49"/>
      <c r="V85" s="49"/>
      <c r="W85" s="773"/>
      <c r="X85" s="800"/>
      <c r="Y85" s="773"/>
      <c r="Z85" s="787"/>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6">
        <f>+R87</f>
        <v>0</v>
      </c>
      <c r="S86" s="213"/>
      <c r="T86" s="213"/>
      <c r="U86" s="71"/>
      <c r="V86" s="71"/>
      <c r="W86" s="773"/>
      <c r="X86" s="800"/>
      <c r="Y86" s="773"/>
      <c r="Z86" s="787"/>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7">
        <f>10000000-10000000</f>
        <v>0</v>
      </c>
      <c r="S87" s="62"/>
      <c r="T87" s="63"/>
      <c r="U87" s="64" t="s">
        <v>187</v>
      </c>
      <c r="V87" s="64"/>
      <c r="W87" s="776"/>
      <c r="X87" s="804"/>
      <c r="Y87" s="776"/>
      <c r="Z87" s="788">
        <f t="shared" si="2"/>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6">
        <f>+R89</f>
        <v>9000000</v>
      </c>
      <c r="S88" s="213"/>
      <c r="T88" s="213"/>
      <c r="U88" s="71"/>
      <c r="V88" s="71"/>
      <c r="W88" s="773"/>
      <c r="X88" s="800"/>
      <c r="Y88" s="773"/>
      <c r="Z88" s="787"/>
    </row>
    <row r="89" spans="1:27" ht="39.75" customHeight="1" x14ac:dyDescent="0.2">
      <c r="B89" s="321"/>
      <c r="C89" s="93"/>
      <c r="D89" s="93"/>
      <c r="E89" s="93"/>
      <c r="F89" s="93"/>
      <c r="G89" s="93"/>
      <c r="H89" s="93"/>
      <c r="I89" s="93"/>
      <c r="J89" s="344"/>
      <c r="K89" s="344" t="s">
        <v>106273</v>
      </c>
      <c r="L89" s="682" t="s">
        <v>324</v>
      </c>
      <c r="M89" s="575" t="s">
        <v>195</v>
      </c>
      <c r="N89" s="2">
        <v>45047</v>
      </c>
      <c r="O89" s="59" t="s">
        <v>325</v>
      </c>
      <c r="P89" s="60" t="s">
        <v>326</v>
      </c>
      <c r="Q89" s="60" t="s">
        <v>425</v>
      </c>
      <c r="R89" s="717">
        <f>19000000-10000000</f>
        <v>9000000</v>
      </c>
      <c r="S89" s="62"/>
      <c r="T89" s="63"/>
      <c r="U89" s="64" t="s">
        <v>401</v>
      </c>
      <c r="V89" s="64">
        <v>79423</v>
      </c>
      <c r="W89" s="776">
        <v>9000000</v>
      </c>
      <c r="X89" s="804"/>
      <c r="Y89" s="776"/>
      <c r="Z89" s="788">
        <f t="shared" si="2"/>
        <v>-9000000</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3">
        <f>+R91+R102+R110+R173+R188</f>
        <v>7128171936.6399994</v>
      </c>
      <c r="S90" s="210"/>
      <c r="T90" s="210"/>
      <c r="U90" s="75"/>
      <c r="V90" s="75"/>
      <c r="W90" s="773"/>
      <c r="X90" s="800"/>
      <c r="Y90" s="773"/>
      <c r="Z90" s="787"/>
    </row>
    <row r="91" spans="1:27" ht="45" customHeight="1" x14ac:dyDescent="0.2">
      <c r="B91" s="199" t="s">
        <v>7</v>
      </c>
      <c r="C91" s="199" t="s">
        <v>20</v>
      </c>
      <c r="D91" s="199" t="s">
        <v>20</v>
      </c>
      <c r="E91" s="199" t="s">
        <v>20</v>
      </c>
      <c r="F91" s="199" t="s">
        <v>14</v>
      </c>
      <c r="G91" s="199"/>
      <c r="H91" s="199"/>
      <c r="I91" s="199"/>
      <c r="J91" s="199"/>
      <c r="K91" s="840"/>
      <c r="L91" s="329"/>
      <c r="M91" s="233" t="s">
        <v>75</v>
      </c>
      <c r="N91" s="41"/>
      <c r="O91" s="41"/>
      <c r="P91" s="42"/>
      <c r="Q91" s="42"/>
      <c r="R91" s="714">
        <f>+R92+R96+R99</f>
        <v>964776888</v>
      </c>
      <c r="S91" s="211"/>
      <c r="T91" s="211"/>
      <c r="U91" s="43"/>
      <c r="V91" s="43"/>
      <c r="W91" s="773"/>
      <c r="X91" s="800"/>
      <c r="Y91" s="773"/>
      <c r="Z91" s="787"/>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5">
        <f>SUM(R93:R95)</f>
        <v>48000000</v>
      </c>
      <c r="S92" s="212"/>
      <c r="T92" s="212"/>
      <c r="U92" s="49"/>
      <c r="V92" s="49"/>
      <c r="W92" s="773"/>
      <c r="X92" s="800"/>
      <c r="Y92" s="773"/>
      <c r="Z92" s="787"/>
    </row>
    <row r="93" spans="1:27" ht="15" customHeight="1" x14ac:dyDescent="0.2">
      <c r="B93" s="321"/>
      <c r="C93" s="93"/>
      <c r="D93" s="93"/>
      <c r="E93" s="93"/>
      <c r="F93" s="93"/>
      <c r="G93" s="93"/>
      <c r="H93" s="93"/>
      <c r="I93" s="93"/>
      <c r="J93" s="344"/>
      <c r="K93" s="344" t="s">
        <v>106274</v>
      </c>
      <c r="L93" s="679"/>
      <c r="M93" s="58" t="s">
        <v>172</v>
      </c>
      <c r="N93" s="59">
        <v>44929</v>
      </c>
      <c r="O93" s="59" t="s">
        <v>261</v>
      </c>
      <c r="P93" s="60" t="s">
        <v>234</v>
      </c>
      <c r="Q93" s="60" t="s">
        <v>210</v>
      </c>
      <c r="R93" s="717">
        <v>30000000</v>
      </c>
      <c r="S93" s="62"/>
      <c r="T93" s="63"/>
      <c r="U93" s="64" t="s">
        <v>358</v>
      </c>
      <c r="V93" s="64">
        <v>4723</v>
      </c>
      <c r="W93" s="776">
        <v>30000000</v>
      </c>
      <c r="X93" s="804">
        <v>60923</v>
      </c>
      <c r="Y93" s="776">
        <v>30000000</v>
      </c>
      <c r="Z93" s="788">
        <f t="shared" si="2"/>
        <v>0</v>
      </c>
    </row>
    <row r="94" spans="1:27" ht="15" customHeight="1" x14ac:dyDescent="0.2">
      <c r="B94" s="321"/>
      <c r="C94" s="93"/>
      <c r="D94" s="93"/>
      <c r="E94" s="93"/>
      <c r="F94" s="93"/>
      <c r="G94" s="93"/>
      <c r="H94" s="93"/>
      <c r="I94" s="93"/>
      <c r="J94" s="344"/>
      <c r="K94" s="344" t="s">
        <v>106274</v>
      </c>
      <c r="L94" s="679"/>
      <c r="M94" s="58" t="s">
        <v>173</v>
      </c>
      <c r="N94" s="59">
        <v>44947</v>
      </c>
      <c r="O94" s="59" t="s">
        <v>259</v>
      </c>
      <c r="P94" s="60" t="s">
        <v>234</v>
      </c>
      <c r="Q94" s="60" t="s">
        <v>210</v>
      </c>
      <c r="R94" s="717">
        <v>11000000</v>
      </c>
      <c r="S94" s="62"/>
      <c r="T94" s="63"/>
      <c r="U94" s="64" t="s">
        <v>358</v>
      </c>
      <c r="V94" s="64">
        <v>4623</v>
      </c>
      <c r="W94" s="776">
        <v>11000000</v>
      </c>
      <c r="X94" s="804">
        <v>48523</v>
      </c>
      <c r="Y94" s="776">
        <v>11000000</v>
      </c>
      <c r="Z94" s="788">
        <f t="shared" si="2"/>
        <v>0</v>
      </c>
    </row>
    <row r="95" spans="1:27" ht="15" customHeight="1" x14ac:dyDescent="0.2">
      <c r="B95" s="321"/>
      <c r="C95" s="93"/>
      <c r="D95" s="93"/>
      <c r="E95" s="93"/>
      <c r="F95" s="93"/>
      <c r="G95" s="93"/>
      <c r="H95" s="93"/>
      <c r="I95" s="93"/>
      <c r="J95" s="344"/>
      <c r="K95" s="344" t="s">
        <v>106274</v>
      </c>
      <c r="L95" s="708"/>
      <c r="M95" s="58" t="s">
        <v>175</v>
      </c>
      <c r="N95" s="59" t="s">
        <v>231</v>
      </c>
      <c r="O95" s="59" t="s">
        <v>231</v>
      </c>
      <c r="P95" s="59" t="s">
        <v>231</v>
      </c>
      <c r="Q95" s="59" t="s">
        <v>231</v>
      </c>
      <c r="R95" s="717">
        <v>7000000</v>
      </c>
      <c r="S95" s="62"/>
      <c r="T95" s="63"/>
      <c r="U95" s="64" t="s">
        <v>106165</v>
      </c>
      <c r="V95" s="58" t="s">
        <v>106235</v>
      </c>
      <c r="W95" s="776">
        <v>668609</v>
      </c>
      <c r="X95" s="801" t="s">
        <v>106236</v>
      </c>
      <c r="Y95" s="776">
        <v>668609</v>
      </c>
      <c r="Z95" s="788">
        <f t="shared" si="2"/>
        <v>-6331391</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5">
        <f>SUM(R97:R98)</f>
        <v>11500000</v>
      </c>
      <c r="S96" s="212"/>
      <c r="T96" s="212"/>
      <c r="U96" s="49"/>
      <c r="V96" s="49"/>
      <c r="W96" s="773"/>
      <c r="X96" s="800"/>
      <c r="Y96" s="773"/>
      <c r="Z96" s="787"/>
    </row>
    <row r="97" spans="2:27" ht="15" customHeight="1" x14ac:dyDescent="0.2">
      <c r="B97" s="321"/>
      <c r="C97" s="93"/>
      <c r="D97" s="93"/>
      <c r="E97" s="93"/>
      <c r="F97" s="93"/>
      <c r="G97" s="93"/>
      <c r="H97" s="93"/>
      <c r="I97" s="93"/>
      <c r="J97" s="344"/>
      <c r="K97" s="344" t="s">
        <v>106275</v>
      </c>
      <c r="L97" s="303"/>
      <c r="M97" s="58" t="s">
        <v>174</v>
      </c>
      <c r="N97" s="59">
        <v>44967</v>
      </c>
      <c r="O97" s="59" t="s">
        <v>259</v>
      </c>
      <c r="P97" s="60" t="s">
        <v>234</v>
      </c>
      <c r="Q97" s="60" t="s">
        <v>210</v>
      </c>
      <c r="R97" s="717">
        <v>10000000</v>
      </c>
      <c r="S97" s="62"/>
      <c r="T97" s="63"/>
      <c r="U97" s="64" t="s">
        <v>188</v>
      </c>
      <c r="V97" s="64">
        <v>30123</v>
      </c>
      <c r="W97" s="776">
        <v>10000000</v>
      </c>
      <c r="X97" s="804">
        <v>126123</v>
      </c>
      <c r="Y97" s="776">
        <v>10000000</v>
      </c>
      <c r="Z97" s="788">
        <f t="shared" si="2"/>
        <v>0</v>
      </c>
    </row>
    <row r="98" spans="2:27" ht="15" customHeight="1" x14ac:dyDescent="0.2">
      <c r="B98" s="321"/>
      <c r="C98" s="93"/>
      <c r="D98" s="93"/>
      <c r="E98" s="93"/>
      <c r="F98" s="93"/>
      <c r="G98" s="93"/>
      <c r="H98" s="93"/>
      <c r="I98" s="93"/>
      <c r="J98" s="344"/>
      <c r="K98" s="344" t="s">
        <v>106275</v>
      </c>
      <c r="L98" s="708"/>
      <c r="M98" s="58" t="s">
        <v>176</v>
      </c>
      <c r="N98" s="59" t="s">
        <v>231</v>
      </c>
      <c r="O98" s="59" t="s">
        <v>231</v>
      </c>
      <c r="P98" s="60" t="s">
        <v>231</v>
      </c>
      <c r="Q98" s="59" t="s">
        <v>231</v>
      </c>
      <c r="R98" s="717">
        <v>1500000</v>
      </c>
      <c r="S98" s="62"/>
      <c r="T98" s="63"/>
      <c r="U98" s="64" t="s">
        <v>106165</v>
      </c>
      <c r="V98" s="58" t="s">
        <v>106238</v>
      </c>
      <c r="W98" s="776">
        <v>199196</v>
      </c>
      <c r="X98" s="801" t="s">
        <v>106237</v>
      </c>
      <c r="Y98" s="776">
        <v>199196</v>
      </c>
      <c r="Z98" s="788">
        <f t="shared" si="2"/>
        <v>-1300804</v>
      </c>
    </row>
    <row r="99" spans="2:27"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5">
        <f>SUM(R100)</f>
        <v>905276888</v>
      </c>
      <c r="S99" s="212"/>
      <c r="T99" s="212"/>
      <c r="U99" s="49"/>
      <c r="V99" s="49"/>
      <c r="W99" s="773"/>
      <c r="X99" s="800"/>
      <c r="Y99" s="773"/>
      <c r="Z99" s="787"/>
    </row>
    <row r="100" spans="2:27"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6">
        <f>SUM(R101)</f>
        <v>905276888</v>
      </c>
      <c r="S100" s="213"/>
      <c r="T100" s="213"/>
      <c r="U100" s="71"/>
      <c r="V100" s="71"/>
      <c r="W100" s="773"/>
      <c r="X100" s="800"/>
      <c r="Y100" s="773"/>
      <c r="Z100" s="787"/>
    </row>
    <row r="101" spans="2:27"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7">
        <f>157576888+100000000+185000000+114000000-12000000+269700000-120000000+211000000</f>
        <v>905276888</v>
      </c>
      <c r="S101" s="62"/>
      <c r="T101" s="97"/>
      <c r="U101" s="64" t="s">
        <v>188</v>
      </c>
      <c r="V101" s="64"/>
      <c r="W101" s="776">
        <v>727818186</v>
      </c>
      <c r="X101" s="804"/>
      <c r="Y101" s="776">
        <v>727818186</v>
      </c>
      <c r="Z101" s="788">
        <f t="shared" si="2"/>
        <v>-177458702</v>
      </c>
      <c r="AA101" s="783"/>
    </row>
    <row r="102" spans="2:27" ht="30" customHeight="1" x14ac:dyDescent="0.2">
      <c r="B102" s="199" t="s">
        <v>7</v>
      </c>
      <c r="C102" s="199" t="s">
        <v>20</v>
      </c>
      <c r="D102" s="199" t="s">
        <v>20</v>
      </c>
      <c r="E102" s="199" t="s">
        <v>20</v>
      </c>
      <c r="F102" s="199" t="s">
        <v>15</v>
      </c>
      <c r="G102" s="199"/>
      <c r="H102" s="199"/>
      <c r="I102" s="199"/>
      <c r="J102" s="199"/>
      <c r="K102" s="840"/>
      <c r="L102" s="329"/>
      <c r="M102" s="233" t="s">
        <v>80</v>
      </c>
      <c r="N102" s="41"/>
      <c r="O102" s="41"/>
      <c r="P102" s="42"/>
      <c r="Q102" s="42"/>
      <c r="R102" s="714">
        <f>+R103</f>
        <v>4220000000</v>
      </c>
      <c r="S102" s="211"/>
      <c r="T102" s="211"/>
      <c r="U102" s="43"/>
      <c r="V102" s="43"/>
      <c r="W102" s="773"/>
      <c r="X102" s="800"/>
      <c r="Y102" s="773"/>
      <c r="Z102" s="787"/>
    </row>
    <row r="103" spans="2:27"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5">
        <f>+R104</f>
        <v>4220000000</v>
      </c>
      <c r="S103" s="212"/>
      <c r="T103" s="212"/>
      <c r="U103" s="49"/>
      <c r="V103" s="49"/>
      <c r="W103" s="773"/>
      <c r="X103" s="800"/>
      <c r="Y103" s="773"/>
      <c r="Z103" s="787"/>
    </row>
    <row r="104" spans="2:27"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6">
        <f>+R105</f>
        <v>4220000000</v>
      </c>
      <c r="S104" s="213"/>
      <c r="T104" s="213"/>
      <c r="U104" s="71"/>
      <c r="V104" s="71"/>
      <c r="W104" s="773"/>
      <c r="X104" s="800"/>
      <c r="Y104" s="773"/>
      <c r="Z104" s="787"/>
    </row>
    <row r="105" spans="2:27"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6">
        <f>+R106+R108</f>
        <v>4220000000</v>
      </c>
      <c r="S105" s="213"/>
      <c r="T105" s="213"/>
      <c r="U105" s="71"/>
      <c r="V105" s="71"/>
      <c r="W105" s="773"/>
      <c r="X105" s="800"/>
      <c r="Y105" s="773"/>
      <c r="Z105" s="787"/>
    </row>
    <row r="106" spans="2:27"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6">
        <f>+R107</f>
        <v>4212000000</v>
      </c>
      <c r="S106" s="213"/>
      <c r="T106" s="213"/>
      <c r="U106" s="71"/>
      <c r="V106" s="71"/>
      <c r="W106" s="773"/>
      <c r="X106" s="800"/>
      <c r="Y106" s="773"/>
      <c r="Z106" s="787"/>
    </row>
    <row r="107" spans="2:27" ht="30" customHeight="1" x14ac:dyDescent="0.2">
      <c r="B107" s="321"/>
      <c r="C107" s="93"/>
      <c r="D107" s="93"/>
      <c r="E107" s="93"/>
      <c r="F107" s="93"/>
      <c r="G107" s="93"/>
      <c r="H107" s="93"/>
      <c r="I107" s="93"/>
      <c r="J107" s="344"/>
      <c r="K107" s="344" t="str">
        <f>B105&amp;"-"&amp;C105&amp;"-"&amp;D105&amp;"-"&amp;E105&amp;"-"&amp;F105&amp;"-"&amp;G105</f>
        <v>A-02-02-02-007-001</v>
      </c>
      <c r="L107" s="353" t="s">
        <v>373</v>
      </c>
      <c r="M107" s="4" t="s">
        <v>83</v>
      </c>
      <c r="N107" s="2">
        <v>44928</v>
      </c>
      <c r="O107" s="59" t="s">
        <v>261</v>
      </c>
      <c r="P107" s="3" t="s">
        <v>364</v>
      </c>
      <c r="Q107" s="3" t="s">
        <v>209</v>
      </c>
      <c r="R107" s="717">
        <f>1852000000+2360000000</f>
        <v>4212000000</v>
      </c>
      <c r="S107" s="62" t="s">
        <v>211</v>
      </c>
      <c r="T107" s="717">
        <v>6000460000</v>
      </c>
      <c r="U107" s="64" t="s">
        <v>166</v>
      </c>
      <c r="V107" s="58" t="s">
        <v>106239</v>
      </c>
      <c r="W107" s="776">
        <v>4217701597</v>
      </c>
      <c r="X107" s="801" t="s">
        <v>106240</v>
      </c>
      <c r="Y107" s="776">
        <v>4197828446.0100002</v>
      </c>
      <c r="Z107" s="788">
        <f>+Y107-W107</f>
        <v>-19873150.989999771</v>
      </c>
      <c r="AA107" s="783"/>
    </row>
    <row r="108" spans="2:27"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6">
        <f>+R109</f>
        <v>8000000</v>
      </c>
      <c r="S108" s="213"/>
      <c r="T108" s="213"/>
      <c r="U108" s="71"/>
      <c r="V108" s="71"/>
      <c r="W108" s="773"/>
      <c r="X108" s="800"/>
      <c r="Y108" s="773"/>
      <c r="Z108" s="787"/>
      <c r="AA108" s="783"/>
    </row>
    <row r="109" spans="2:27" ht="30" customHeight="1" x14ac:dyDescent="0.2">
      <c r="B109" s="321"/>
      <c r="C109" s="93"/>
      <c r="D109" s="93"/>
      <c r="E109" s="93"/>
      <c r="F109" s="93"/>
      <c r="G109" s="93"/>
      <c r="H109" s="93"/>
      <c r="I109" s="93"/>
      <c r="J109" s="344"/>
      <c r="K109" s="344" t="s">
        <v>106276</v>
      </c>
      <c r="L109" s="679">
        <v>84131500</v>
      </c>
      <c r="M109" s="58" t="s">
        <v>363</v>
      </c>
      <c r="N109" s="59">
        <v>45202</v>
      </c>
      <c r="O109" s="59" t="s">
        <v>368</v>
      </c>
      <c r="P109" s="3" t="s">
        <v>364</v>
      </c>
      <c r="Q109" s="60" t="s">
        <v>426</v>
      </c>
      <c r="R109" s="717">
        <v>8000000</v>
      </c>
      <c r="S109" s="62"/>
      <c r="T109" s="63"/>
      <c r="U109" s="64" t="s">
        <v>358</v>
      </c>
      <c r="V109" s="64"/>
      <c r="W109" s="776"/>
      <c r="X109" s="804"/>
      <c r="Y109" s="776"/>
      <c r="Z109" s="788">
        <f t="shared" si="2"/>
        <v>-8000000</v>
      </c>
      <c r="AA109" s="783"/>
    </row>
    <row r="110" spans="2:27" ht="30" customHeight="1" x14ac:dyDescent="0.2">
      <c r="B110" s="199" t="s">
        <v>7</v>
      </c>
      <c r="C110" s="199" t="s">
        <v>20</v>
      </c>
      <c r="D110" s="199" t="s">
        <v>20</v>
      </c>
      <c r="E110" s="199" t="s">
        <v>20</v>
      </c>
      <c r="F110" s="199" t="s">
        <v>16</v>
      </c>
      <c r="G110" s="199"/>
      <c r="H110" s="199"/>
      <c r="I110" s="199"/>
      <c r="J110" s="199"/>
      <c r="K110" s="840"/>
      <c r="L110" s="329"/>
      <c r="M110" s="233" t="s">
        <v>85</v>
      </c>
      <c r="N110" s="41"/>
      <c r="O110" s="41"/>
      <c r="P110" s="42"/>
      <c r="Q110" s="42"/>
      <c r="R110" s="714">
        <f>+R111+R116+R146+R154+R158</f>
        <v>1480304936.6399999</v>
      </c>
      <c r="S110" s="211"/>
      <c r="T110" s="211"/>
      <c r="U110" s="43"/>
      <c r="V110" s="43"/>
      <c r="W110" s="773"/>
      <c r="X110" s="800"/>
      <c r="Y110" s="773"/>
      <c r="Z110" s="787"/>
    </row>
    <row r="111" spans="2:27"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5">
        <f>+R112</f>
        <v>159439000</v>
      </c>
      <c r="S111" s="212"/>
      <c r="T111" s="212"/>
      <c r="U111" s="49"/>
      <c r="V111" s="49"/>
      <c r="W111" s="773"/>
      <c r="X111" s="800"/>
      <c r="Y111" s="773"/>
      <c r="Z111" s="787"/>
    </row>
    <row r="112" spans="2:27"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6">
        <f>SUM(R113:R115,)</f>
        <v>159439000</v>
      </c>
      <c r="S112" s="213"/>
      <c r="T112" s="213"/>
      <c r="U112" s="71"/>
      <c r="V112" s="71"/>
      <c r="W112" s="773"/>
      <c r="X112" s="800"/>
      <c r="Y112" s="773"/>
      <c r="Z112" s="787"/>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7">
        <v>58190000</v>
      </c>
      <c r="S113" s="768"/>
      <c r="T113" s="63"/>
      <c r="U113" s="64" t="s">
        <v>411</v>
      </c>
      <c r="V113" s="64">
        <v>2923</v>
      </c>
      <c r="W113" s="776">
        <v>58190000</v>
      </c>
      <c r="X113" s="804">
        <v>9823</v>
      </c>
      <c r="Y113" s="776">
        <v>57329800</v>
      </c>
      <c r="Z113" s="788">
        <f t="shared" si="2"/>
        <v>-860200</v>
      </c>
      <c r="AA113" s="783"/>
    </row>
    <row r="114" spans="2:27" ht="90" customHeight="1" x14ac:dyDescent="0.2">
      <c r="B114" s="321"/>
      <c r="C114" s="93"/>
      <c r="D114" s="93"/>
      <c r="E114" s="93"/>
      <c r="F114" s="93"/>
      <c r="G114" s="93"/>
      <c r="H114" s="93"/>
      <c r="I114" s="93"/>
      <c r="J114" s="344"/>
      <c r="K114" s="344" t="s">
        <v>106277</v>
      </c>
      <c r="L114" s="303">
        <v>80121600</v>
      </c>
      <c r="M114" s="58" t="s">
        <v>106197</v>
      </c>
      <c r="N114" s="59">
        <v>45012</v>
      </c>
      <c r="O114" s="59" t="s">
        <v>256</v>
      </c>
      <c r="P114" s="60" t="s">
        <v>326</v>
      </c>
      <c r="Q114" s="60" t="s">
        <v>262</v>
      </c>
      <c r="R114" s="717">
        <f>17000000+10944780+15114220</f>
        <v>43059000</v>
      </c>
      <c r="S114" s="768"/>
      <c r="T114" s="63"/>
      <c r="U114" s="64" t="s">
        <v>411</v>
      </c>
      <c r="V114" s="58" t="s">
        <v>106241</v>
      </c>
      <c r="W114" s="776">
        <f>16711750+10944780+15114220</f>
        <v>42770750</v>
      </c>
      <c r="X114" s="801" t="s">
        <v>106242</v>
      </c>
      <c r="Y114" s="776">
        <v>27656530</v>
      </c>
      <c r="Z114" s="788">
        <f t="shared" si="2"/>
        <v>-15402470</v>
      </c>
      <c r="AA114" s="783"/>
    </row>
    <row r="115" spans="2:27" ht="90" customHeight="1" x14ac:dyDescent="0.2">
      <c r="B115" s="321"/>
      <c r="C115" s="93"/>
      <c r="D115" s="93"/>
      <c r="E115" s="93"/>
      <c r="F115" s="93"/>
      <c r="G115" s="93"/>
      <c r="H115" s="93"/>
      <c r="I115" s="93"/>
      <c r="J115" s="344"/>
      <c r="K115" s="344" t="s">
        <v>106277</v>
      </c>
      <c r="L115" s="303">
        <v>80121600</v>
      </c>
      <c r="M115" s="58" t="s">
        <v>106150</v>
      </c>
      <c r="N115" s="59">
        <v>44936</v>
      </c>
      <c r="O115" s="59" t="s">
        <v>261</v>
      </c>
      <c r="P115" s="60" t="s">
        <v>234</v>
      </c>
      <c r="Q115" s="60" t="s">
        <v>262</v>
      </c>
      <c r="R115" s="717">
        <v>58190000</v>
      </c>
      <c r="S115" s="300"/>
      <c r="T115" s="98"/>
      <c r="U115" s="64" t="s">
        <v>106149</v>
      </c>
      <c r="V115" s="64">
        <v>1123</v>
      </c>
      <c r="W115" s="776">
        <v>58190000</v>
      </c>
      <c r="X115" s="804">
        <v>18023</v>
      </c>
      <c r="Y115" s="776">
        <v>57329800</v>
      </c>
      <c r="Z115" s="788">
        <f t="shared" si="2"/>
        <v>-860200</v>
      </c>
      <c r="AA115" s="783"/>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5">
        <f>+R117</f>
        <v>1008428289.6399999</v>
      </c>
      <c r="S116" s="212"/>
      <c r="T116" s="212"/>
      <c r="U116" s="99"/>
      <c r="V116" s="99"/>
      <c r="W116" s="773"/>
      <c r="X116" s="800"/>
      <c r="Y116" s="773"/>
      <c r="Z116" s="787"/>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6">
        <f>+R118+R127+R129</f>
        <v>1008428289.6399999</v>
      </c>
      <c r="S117" s="213"/>
      <c r="T117" s="213"/>
      <c r="U117" s="71"/>
      <c r="V117" s="71"/>
      <c r="W117" s="773"/>
      <c r="X117" s="800"/>
      <c r="Y117" s="773"/>
      <c r="Z117" s="787"/>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6">
        <f>SUM(R119:R126)</f>
        <v>328881860.32999998</v>
      </c>
      <c r="S118" s="213"/>
      <c r="T118" s="213"/>
      <c r="U118" s="71"/>
      <c r="V118" s="71"/>
      <c r="W118" s="773"/>
      <c r="X118" s="800"/>
      <c r="Y118" s="773"/>
      <c r="Z118" s="787"/>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7">
        <v>46000000</v>
      </c>
      <c r="S119" s="300"/>
      <c r="T119" s="767"/>
      <c r="U119" s="64" t="s">
        <v>163</v>
      </c>
      <c r="V119" s="64">
        <v>26823</v>
      </c>
      <c r="W119" s="776">
        <v>46000000</v>
      </c>
      <c r="X119" s="801" t="s">
        <v>106243</v>
      </c>
      <c r="Y119" s="776">
        <v>41694400</v>
      </c>
      <c r="Z119" s="788">
        <f t="shared" si="2"/>
        <v>-4305600</v>
      </c>
    </row>
    <row r="120" spans="2:27" ht="105" customHeight="1" x14ac:dyDescent="0.2">
      <c r="B120" s="321"/>
      <c r="C120" s="93"/>
      <c r="D120" s="93"/>
      <c r="E120" s="93"/>
      <c r="F120" s="93"/>
      <c r="G120" s="93"/>
      <c r="H120" s="93"/>
      <c r="I120" s="93"/>
      <c r="J120" s="344"/>
      <c r="K120" s="344" t="s">
        <v>106278</v>
      </c>
      <c r="L120" s="328">
        <v>80101500</v>
      </c>
      <c r="M120" s="129" t="s">
        <v>106203</v>
      </c>
      <c r="N120" s="59">
        <v>44941</v>
      </c>
      <c r="O120" s="59" t="s">
        <v>261</v>
      </c>
      <c r="P120" s="60" t="s">
        <v>234</v>
      </c>
      <c r="Q120" s="60" t="s">
        <v>262</v>
      </c>
      <c r="R120" s="717">
        <v>58190000</v>
      </c>
      <c r="S120" s="769"/>
      <c r="T120" s="766"/>
      <c r="U120" s="100" t="s">
        <v>283</v>
      </c>
      <c r="V120" s="100">
        <v>423</v>
      </c>
      <c r="W120" s="777">
        <v>57329800</v>
      </c>
      <c r="X120" s="801">
        <v>2323</v>
      </c>
      <c r="Y120" s="777">
        <v>57329800</v>
      </c>
      <c r="Z120" s="788">
        <f t="shared" si="2"/>
        <v>-860200</v>
      </c>
    </row>
    <row r="121" spans="2:27" ht="135" customHeight="1" x14ac:dyDescent="0.2">
      <c r="B121" s="321"/>
      <c r="C121" s="93"/>
      <c r="D121" s="93"/>
      <c r="E121" s="93"/>
      <c r="F121" s="93"/>
      <c r="G121" s="93"/>
      <c r="H121" s="93"/>
      <c r="I121" s="93"/>
      <c r="J121" s="344"/>
      <c r="K121" s="344" t="s">
        <v>106278</v>
      </c>
      <c r="L121" s="328">
        <v>80101500</v>
      </c>
      <c r="M121" s="129" t="s">
        <v>106133</v>
      </c>
      <c r="N121" s="59">
        <v>44941</v>
      </c>
      <c r="O121" s="59" t="s">
        <v>261</v>
      </c>
      <c r="P121" s="60" t="s">
        <v>234</v>
      </c>
      <c r="Q121" s="60" t="s">
        <v>262</v>
      </c>
      <c r="R121" s="717">
        <f>58190000-1042359.67</f>
        <v>57147640.329999998</v>
      </c>
      <c r="S121" s="62"/>
      <c r="T121" s="63"/>
      <c r="U121" s="100" t="s">
        <v>283</v>
      </c>
      <c r="V121" s="100">
        <v>323</v>
      </c>
      <c r="W121" s="777">
        <v>56287440.329999998</v>
      </c>
      <c r="X121" s="801" t="s">
        <v>106246</v>
      </c>
      <c r="Y121" s="777">
        <v>56287440.329999998</v>
      </c>
      <c r="Z121" s="788">
        <f t="shared" si="2"/>
        <v>-860200</v>
      </c>
      <c r="AA121" s="783"/>
    </row>
    <row r="122" spans="2:27" ht="75" customHeight="1" x14ac:dyDescent="0.2">
      <c r="B122" s="321"/>
      <c r="C122" s="93"/>
      <c r="D122" s="93"/>
      <c r="E122" s="93"/>
      <c r="F122" s="93"/>
      <c r="G122" s="93"/>
      <c r="H122" s="93"/>
      <c r="I122" s="93"/>
      <c r="J122" s="344"/>
      <c r="K122" s="344" t="s">
        <v>106278</v>
      </c>
      <c r="L122" s="328">
        <v>80101500</v>
      </c>
      <c r="M122" s="129" t="s">
        <v>106148</v>
      </c>
      <c r="N122" s="59">
        <v>44941</v>
      </c>
      <c r="O122" s="59" t="s">
        <v>261</v>
      </c>
      <c r="P122" s="60" t="s">
        <v>234</v>
      </c>
      <c r="Q122" s="60" t="s">
        <v>262</v>
      </c>
      <c r="R122" s="717">
        <f>58190000-10944780</f>
        <v>47245220</v>
      </c>
      <c r="S122" s="62"/>
      <c r="T122" s="63"/>
      <c r="U122" s="58" t="s">
        <v>283</v>
      </c>
      <c r="V122" s="58">
        <v>123</v>
      </c>
      <c r="W122" s="777">
        <v>46329800</v>
      </c>
      <c r="X122" s="801" t="s">
        <v>106244</v>
      </c>
      <c r="Y122" s="777">
        <f>+W122-'[1]Exportar - 2023-10-06T104800.82'!$P$611</f>
        <v>45935596.670000002</v>
      </c>
      <c r="Z122" s="788">
        <f t="shared" si="2"/>
        <v>-1309623.3299999982</v>
      </c>
      <c r="AA122" s="783"/>
    </row>
    <row r="123" spans="2:27" ht="75" customHeight="1" x14ac:dyDescent="0.2">
      <c r="B123" s="321"/>
      <c r="C123" s="93"/>
      <c r="D123" s="93"/>
      <c r="E123" s="93"/>
      <c r="F123" s="93"/>
      <c r="G123" s="93"/>
      <c r="H123" s="93"/>
      <c r="I123" s="93"/>
      <c r="J123" s="344"/>
      <c r="K123" s="344" t="s">
        <v>106278</v>
      </c>
      <c r="L123" s="328">
        <v>80101500</v>
      </c>
      <c r="M123" s="129" t="s">
        <v>106147</v>
      </c>
      <c r="N123" s="59">
        <v>44941</v>
      </c>
      <c r="O123" s="59" t="s">
        <v>261</v>
      </c>
      <c r="P123" s="60" t="s">
        <v>234</v>
      </c>
      <c r="Q123" s="60" t="s">
        <v>262</v>
      </c>
      <c r="R123" s="717">
        <f>58190000-2280000</f>
        <v>55910000</v>
      </c>
      <c r="S123" s="62"/>
      <c r="T123" s="63"/>
      <c r="U123" s="58" t="s">
        <v>283</v>
      </c>
      <c r="V123" s="58">
        <v>223</v>
      </c>
      <c r="W123" s="777">
        <v>55049800</v>
      </c>
      <c r="X123" s="801" t="s">
        <v>106245</v>
      </c>
      <c r="Y123" s="777">
        <v>42389306.670000002</v>
      </c>
      <c r="Z123" s="788">
        <f t="shared" si="2"/>
        <v>-13520693.329999998</v>
      </c>
      <c r="AA123" s="783"/>
    </row>
    <row r="124" spans="2:27" ht="30" customHeight="1" x14ac:dyDescent="0.2">
      <c r="B124" s="322"/>
      <c r="C124" s="301"/>
      <c r="D124" s="301"/>
      <c r="E124" s="301"/>
      <c r="F124" s="301"/>
      <c r="G124" s="301"/>
      <c r="H124" s="301"/>
      <c r="I124" s="301"/>
      <c r="J124" s="307"/>
      <c r="K124" s="307" t="s">
        <v>106278</v>
      </c>
      <c r="L124" s="328">
        <v>80101500</v>
      </c>
      <c r="M124" s="58" t="s">
        <v>180</v>
      </c>
      <c r="N124" s="59">
        <v>45179</v>
      </c>
      <c r="O124" s="59" t="s">
        <v>369</v>
      </c>
      <c r="P124" s="60" t="s">
        <v>257</v>
      </c>
      <c r="Q124" s="60" t="s">
        <v>262</v>
      </c>
      <c r="R124" s="717">
        <v>27000000</v>
      </c>
      <c r="S124" s="62"/>
      <c r="T124" s="63"/>
      <c r="U124" s="100" t="s">
        <v>401</v>
      </c>
      <c r="V124" s="100">
        <v>95023</v>
      </c>
      <c r="W124" s="777">
        <v>9196320</v>
      </c>
      <c r="X124" s="801"/>
      <c r="Y124" s="777"/>
      <c r="Z124" s="788">
        <f t="shared" si="2"/>
        <v>-27000000</v>
      </c>
    </row>
    <row r="125" spans="2:27" ht="30" customHeight="1" x14ac:dyDescent="0.2">
      <c r="B125" s="322"/>
      <c r="C125" s="789"/>
      <c r="D125" s="789"/>
      <c r="E125" s="789"/>
      <c r="F125" s="789"/>
      <c r="G125" s="789"/>
      <c r="H125" s="789"/>
      <c r="I125" s="789"/>
      <c r="J125" s="307"/>
      <c r="K125" s="307" t="s">
        <v>106278</v>
      </c>
      <c r="L125" s="679" t="s">
        <v>106211</v>
      </c>
      <c r="M125" s="58" t="s">
        <v>106049</v>
      </c>
      <c r="N125" s="59">
        <v>45195</v>
      </c>
      <c r="O125" s="59" t="s">
        <v>369</v>
      </c>
      <c r="P125" s="60" t="s">
        <v>326</v>
      </c>
      <c r="Q125" s="60" t="s">
        <v>262</v>
      </c>
      <c r="R125" s="717">
        <v>11216700</v>
      </c>
      <c r="S125" s="62"/>
      <c r="T125" s="63"/>
      <c r="U125" s="100" t="s">
        <v>348</v>
      </c>
      <c r="V125" s="100"/>
      <c r="W125" s="777"/>
      <c r="X125" s="801"/>
      <c r="Y125" s="777"/>
      <c r="Z125" s="788">
        <f t="shared" si="2"/>
        <v>-11216700</v>
      </c>
    </row>
    <row r="126" spans="2:27" ht="75" customHeight="1" x14ac:dyDescent="0.2">
      <c r="B126" s="322"/>
      <c r="C126" s="686"/>
      <c r="D126" s="686"/>
      <c r="E126" s="686"/>
      <c r="F126" s="686"/>
      <c r="G126" s="686"/>
      <c r="H126" s="686"/>
      <c r="I126" s="686"/>
      <c r="J126" s="307"/>
      <c r="K126" s="307" t="s">
        <v>106278</v>
      </c>
      <c r="L126" s="303">
        <v>80101500</v>
      </c>
      <c r="M126" s="58" t="s">
        <v>106202</v>
      </c>
      <c r="N126" s="59">
        <v>45017</v>
      </c>
      <c r="O126" s="59" t="s">
        <v>315</v>
      </c>
      <c r="P126" s="60" t="s">
        <v>305</v>
      </c>
      <c r="Q126" s="60" t="s">
        <v>262</v>
      </c>
      <c r="R126" s="717">
        <f>50000000-17000000-6827700</f>
        <v>26172300</v>
      </c>
      <c r="S126" s="62"/>
      <c r="T126" s="63"/>
      <c r="U126" s="100" t="s">
        <v>106222</v>
      </c>
      <c r="V126" s="100">
        <v>49023</v>
      </c>
      <c r="W126" s="777">
        <v>26172300</v>
      </c>
      <c r="X126" s="801">
        <v>111223</v>
      </c>
      <c r="Y126" s="777">
        <v>26172300</v>
      </c>
      <c r="Z126" s="788">
        <f t="shared" si="2"/>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6">
        <f>+R128</f>
        <v>8500000</v>
      </c>
      <c r="S127" s="213"/>
      <c r="T127" s="213"/>
      <c r="U127" s="71"/>
      <c r="V127" s="71"/>
      <c r="W127" s="773"/>
      <c r="X127" s="800"/>
      <c r="Y127" s="773"/>
      <c r="Z127" s="787"/>
    </row>
    <row r="128" spans="2:27" ht="30" customHeight="1" x14ac:dyDescent="0.2">
      <c r="B128" s="321"/>
      <c r="C128" s="93"/>
      <c r="D128" s="93"/>
      <c r="E128" s="93"/>
      <c r="F128" s="93"/>
      <c r="G128" s="93"/>
      <c r="H128" s="93"/>
      <c r="I128" s="93"/>
      <c r="J128" s="344"/>
      <c r="K128" s="344" t="s">
        <v>106278</v>
      </c>
      <c r="L128" s="328">
        <v>80101500</v>
      </c>
      <c r="M128" s="58" t="s">
        <v>243</v>
      </c>
      <c r="N128" s="59">
        <v>45184</v>
      </c>
      <c r="O128" s="59" t="s">
        <v>368</v>
      </c>
      <c r="P128" s="60" t="s">
        <v>371</v>
      </c>
      <c r="Q128" s="60" t="s">
        <v>262</v>
      </c>
      <c r="R128" s="717">
        <v>8500000</v>
      </c>
      <c r="S128" s="62"/>
      <c r="T128" s="63"/>
      <c r="U128" s="64" t="s">
        <v>163</v>
      </c>
      <c r="V128" s="64">
        <v>87823</v>
      </c>
      <c r="W128" s="776">
        <v>8500000</v>
      </c>
      <c r="X128" s="804">
        <v>218123</v>
      </c>
      <c r="Y128" s="776">
        <v>8500000</v>
      </c>
      <c r="Z128" s="788">
        <f>+Y128-R128</f>
        <v>0</v>
      </c>
    </row>
    <row r="129" spans="2:26"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6">
        <f>SUM(R130:R145)</f>
        <v>671046429.30999994</v>
      </c>
      <c r="S129" s="213"/>
      <c r="T129" s="213"/>
      <c r="U129" s="71"/>
      <c r="V129" s="71"/>
      <c r="W129" s="773"/>
      <c r="X129" s="800"/>
      <c r="Y129" s="773"/>
      <c r="Z129" s="787"/>
    </row>
    <row r="130" spans="2:26" ht="42" customHeight="1" x14ac:dyDescent="0.2">
      <c r="B130" s="321"/>
      <c r="C130" s="93"/>
      <c r="D130" s="93"/>
      <c r="E130" s="93"/>
      <c r="F130" s="93"/>
      <c r="G130" s="93"/>
      <c r="H130" s="93"/>
      <c r="I130" s="93"/>
      <c r="J130" s="344"/>
      <c r="K130" s="344" t="s">
        <v>106278</v>
      </c>
      <c r="L130" s="679" t="s">
        <v>106123</v>
      </c>
      <c r="M130" s="58" t="s">
        <v>427</v>
      </c>
      <c r="N130" s="59">
        <v>44998</v>
      </c>
      <c r="O130" s="59" t="s">
        <v>315</v>
      </c>
      <c r="P130" s="60" t="s">
        <v>338</v>
      </c>
      <c r="Q130" s="60" t="s">
        <v>106201</v>
      </c>
      <c r="R130" s="717">
        <f>38000000-1417647-9968083</f>
        <v>26614270</v>
      </c>
      <c r="S130" s="62"/>
      <c r="T130" s="63"/>
      <c r="U130" s="64" t="s">
        <v>156</v>
      </c>
      <c r="V130" s="64">
        <v>34423</v>
      </c>
      <c r="W130" s="776">
        <v>26614270</v>
      </c>
      <c r="X130" s="804">
        <v>115623</v>
      </c>
      <c r="Y130" s="776">
        <v>26614270</v>
      </c>
      <c r="Z130" s="788">
        <f t="shared" si="2"/>
        <v>0</v>
      </c>
    </row>
    <row r="131" spans="2:26" ht="48" customHeight="1" x14ac:dyDescent="0.2">
      <c r="B131" s="321"/>
      <c r="C131" s="93"/>
      <c r="D131" s="93"/>
      <c r="E131" s="93"/>
      <c r="F131" s="93"/>
      <c r="G131" s="93"/>
      <c r="H131" s="93"/>
      <c r="I131" s="93"/>
      <c r="J131" s="344"/>
      <c r="K131" s="344" t="s">
        <v>106278</v>
      </c>
      <c r="L131" s="679">
        <v>43222501</v>
      </c>
      <c r="M131" s="58" t="s">
        <v>155</v>
      </c>
      <c r="N131" s="59">
        <v>44942</v>
      </c>
      <c r="O131" s="59" t="s">
        <v>259</v>
      </c>
      <c r="P131" s="60" t="s">
        <v>319</v>
      </c>
      <c r="Q131" s="60" t="s">
        <v>425</v>
      </c>
      <c r="R131" s="717">
        <f>48170437.5+8000000</f>
        <v>56170437.5</v>
      </c>
      <c r="S131" s="768"/>
      <c r="T131" s="63"/>
      <c r="U131" s="64" t="s">
        <v>156</v>
      </c>
      <c r="V131" s="64">
        <v>5723</v>
      </c>
      <c r="W131" s="776">
        <v>48170437.5</v>
      </c>
      <c r="X131" s="804">
        <v>111523</v>
      </c>
      <c r="Y131" s="776">
        <v>48170437</v>
      </c>
      <c r="Z131" s="788">
        <f t="shared" si="2"/>
        <v>-8000000.5</v>
      </c>
    </row>
    <row r="132" spans="2:26" ht="45" customHeight="1" x14ac:dyDescent="0.2">
      <c r="B132" s="321"/>
      <c r="C132" s="93"/>
      <c r="D132" s="93"/>
      <c r="E132" s="93"/>
      <c r="F132" s="93"/>
      <c r="G132" s="93"/>
      <c r="H132" s="93"/>
      <c r="I132" s="93"/>
      <c r="J132" s="344"/>
      <c r="K132" s="344" t="s">
        <v>106278</v>
      </c>
      <c r="L132" s="679">
        <v>81111500</v>
      </c>
      <c r="M132" s="58" t="s">
        <v>106124</v>
      </c>
      <c r="N132" s="59">
        <v>45000</v>
      </c>
      <c r="O132" s="59" t="s">
        <v>438</v>
      </c>
      <c r="P132" s="60" t="s">
        <v>305</v>
      </c>
      <c r="Q132" s="60" t="s">
        <v>221</v>
      </c>
      <c r="R132" s="719">
        <v>42000000</v>
      </c>
      <c r="S132" s="62"/>
      <c r="T132" s="63"/>
      <c r="U132" s="64" t="s">
        <v>156</v>
      </c>
      <c r="V132" s="64">
        <v>34523</v>
      </c>
      <c r="W132" s="776">
        <v>42000000</v>
      </c>
      <c r="X132" s="804">
        <v>116623</v>
      </c>
      <c r="Y132" s="776">
        <v>42000000</v>
      </c>
      <c r="Z132" s="788">
        <f t="shared" si="2"/>
        <v>0</v>
      </c>
    </row>
    <row r="133" spans="2:26" ht="30" customHeight="1" x14ac:dyDescent="0.2">
      <c r="B133" s="321"/>
      <c r="C133" s="93"/>
      <c r="D133" s="93"/>
      <c r="E133" s="93"/>
      <c r="F133" s="93"/>
      <c r="G133" s="93"/>
      <c r="H133" s="93"/>
      <c r="I133" s="93"/>
      <c r="J133" s="344"/>
      <c r="K133" s="344" t="s">
        <v>106278</v>
      </c>
      <c r="L133" s="679">
        <v>81111500</v>
      </c>
      <c r="M133" s="58" t="s">
        <v>416</v>
      </c>
      <c r="N133" s="59">
        <v>44935</v>
      </c>
      <c r="O133" s="59" t="s">
        <v>261</v>
      </c>
      <c r="P133" s="60" t="s">
        <v>234</v>
      </c>
      <c r="Q133" s="60" t="s">
        <v>221</v>
      </c>
      <c r="R133" s="719">
        <f>58190000-9000000-5190000</f>
        <v>44000000</v>
      </c>
      <c r="S133" s="62"/>
      <c r="T133" s="63"/>
      <c r="U133" s="64" t="s">
        <v>156</v>
      </c>
      <c r="V133" s="64">
        <v>5323</v>
      </c>
      <c r="W133" s="776">
        <v>44000000</v>
      </c>
      <c r="X133" s="804">
        <v>111423</v>
      </c>
      <c r="Y133" s="776">
        <v>44000000</v>
      </c>
      <c r="Z133" s="788">
        <f t="shared" si="2"/>
        <v>0</v>
      </c>
    </row>
    <row r="134" spans="2:26" ht="45" customHeight="1" x14ac:dyDescent="0.2">
      <c r="B134" s="321"/>
      <c r="C134" s="93"/>
      <c r="D134" s="93"/>
      <c r="E134" s="93"/>
      <c r="F134" s="93"/>
      <c r="G134" s="93"/>
      <c r="H134" s="93"/>
      <c r="I134" s="93"/>
      <c r="J134" s="344"/>
      <c r="K134" s="344" t="s">
        <v>106278</v>
      </c>
      <c r="L134" s="679">
        <v>81111500</v>
      </c>
      <c r="M134" s="58" t="s">
        <v>106125</v>
      </c>
      <c r="N134" s="59">
        <v>44935</v>
      </c>
      <c r="O134" s="59" t="s">
        <v>259</v>
      </c>
      <c r="P134" s="60" t="s">
        <v>234</v>
      </c>
      <c r="Q134" s="60" t="s">
        <v>221</v>
      </c>
      <c r="R134" s="719">
        <f>42108000-15000000</f>
        <v>27108000</v>
      </c>
      <c r="S134" s="62"/>
      <c r="T134" s="63"/>
      <c r="U134" s="64" t="s">
        <v>156</v>
      </c>
      <c r="V134" s="64">
        <v>5423</v>
      </c>
      <c r="W134" s="776">
        <v>27108000</v>
      </c>
      <c r="X134" s="804">
        <v>165023</v>
      </c>
      <c r="Y134" s="776">
        <v>18694500</v>
      </c>
      <c r="Z134" s="788">
        <f t="shared" si="2"/>
        <v>-8413500</v>
      </c>
    </row>
    <row r="135" spans="2:26" ht="30" customHeight="1" x14ac:dyDescent="0.2">
      <c r="B135" s="321"/>
      <c r="C135" s="93"/>
      <c r="D135" s="93"/>
      <c r="E135" s="93"/>
      <c r="F135" s="93"/>
      <c r="G135" s="93"/>
      <c r="H135" s="93"/>
      <c r="I135" s="93"/>
      <c r="J135" s="344"/>
      <c r="K135" s="344" t="s">
        <v>106278</v>
      </c>
      <c r="L135" s="679">
        <v>81111500</v>
      </c>
      <c r="M135" s="129" t="s">
        <v>415</v>
      </c>
      <c r="N135" s="59">
        <v>44935</v>
      </c>
      <c r="O135" s="59" t="s">
        <v>259</v>
      </c>
      <c r="P135" s="60" t="s">
        <v>234</v>
      </c>
      <c r="Q135" s="60" t="s">
        <v>221</v>
      </c>
      <c r="R135" s="719">
        <f>58190000-3987279.86</f>
        <v>54202720.140000001</v>
      </c>
      <c r="S135" s="62"/>
      <c r="T135" s="63"/>
      <c r="U135" s="64" t="s">
        <v>156</v>
      </c>
      <c r="V135" s="64">
        <v>5223</v>
      </c>
      <c r="W135" s="776">
        <v>54202720.140000001</v>
      </c>
      <c r="X135" s="804">
        <v>32323</v>
      </c>
      <c r="Y135" s="776">
        <v>54202720.140000001</v>
      </c>
      <c r="Z135" s="788">
        <f t="shared" si="2"/>
        <v>0</v>
      </c>
    </row>
    <row r="136" spans="2:26" ht="30" customHeight="1" x14ac:dyDescent="0.2">
      <c r="B136" s="321"/>
      <c r="C136" s="93"/>
      <c r="D136" s="93"/>
      <c r="E136" s="93"/>
      <c r="F136" s="93"/>
      <c r="G136" s="93"/>
      <c r="H136" s="93"/>
      <c r="I136" s="93"/>
      <c r="J136" s="344"/>
      <c r="K136" s="344" t="s">
        <v>106278</v>
      </c>
      <c r="L136" s="679">
        <v>82112200</v>
      </c>
      <c r="M136" s="58" t="s">
        <v>153</v>
      </c>
      <c r="N136" s="59">
        <v>44935</v>
      </c>
      <c r="O136" s="59" t="s">
        <v>259</v>
      </c>
      <c r="P136" s="60" t="s">
        <v>319</v>
      </c>
      <c r="Q136" s="60" t="s">
        <v>221</v>
      </c>
      <c r="R136" s="717">
        <f>11000000-183100</f>
        <v>10816900</v>
      </c>
      <c r="S136" s="62"/>
      <c r="T136" s="72"/>
      <c r="U136" s="64" t="s">
        <v>156</v>
      </c>
      <c r="V136" s="64">
        <v>5523</v>
      </c>
      <c r="W136" s="776">
        <v>10816900</v>
      </c>
      <c r="X136" s="804">
        <v>31723</v>
      </c>
      <c r="Y136" s="776">
        <v>10816900</v>
      </c>
      <c r="Z136" s="788">
        <f t="shared" si="2"/>
        <v>0</v>
      </c>
    </row>
    <row r="137" spans="2:26" ht="30" customHeight="1" x14ac:dyDescent="0.2">
      <c r="B137" s="321"/>
      <c r="C137" s="93"/>
      <c r="D137" s="93"/>
      <c r="E137" s="93"/>
      <c r="F137" s="93"/>
      <c r="G137" s="93"/>
      <c r="H137" s="93"/>
      <c r="I137" s="93"/>
      <c r="J137" s="344"/>
      <c r="K137" s="344" t="s">
        <v>106278</v>
      </c>
      <c r="L137" s="679">
        <v>82112200</v>
      </c>
      <c r="M137" s="58" t="s">
        <v>169</v>
      </c>
      <c r="N137" s="59">
        <v>45082</v>
      </c>
      <c r="O137" s="59" t="s">
        <v>367</v>
      </c>
      <c r="P137" s="60" t="s">
        <v>326</v>
      </c>
      <c r="Q137" s="60" t="s">
        <v>221</v>
      </c>
      <c r="R137" s="717">
        <f>120000000-120000000+120000000-12000000-8000000-19503220</f>
        <v>80496780</v>
      </c>
      <c r="S137" s="62"/>
      <c r="T137" s="72"/>
      <c r="U137" s="64" t="s">
        <v>156</v>
      </c>
      <c r="V137" s="64">
        <v>69923</v>
      </c>
      <c r="W137" s="776">
        <v>120000000</v>
      </c>
      <c r="X137" s="804">
        <v>171823</v>
      </c>
      <c r="Y137" s="776">
        <v>79550000</v>
      </c>
      <c r="Z137" s="788">
        <f t="shared" si="2"/>
        <v>-946780</v>
      </c>
    </row>
    <row r="138" spans="2:26" ht="30" customHeight="1" x14ac:dyDescent="0.2">
      <c r="B138" s="321"/>
      <c r="C138" s="93"/>
      <c r="D138" s="93"/>
      <c r="E138" s="93"/>
      <c r="F138" s="93"/>
      <c r="G138" s="93"/>
      <c r="H138" s="93"/>
      <c r="I138" s="93"/>
      <c r="J138" s="344"/>
      <c r="K138" s="344" t="s">
        <v>106278</v>
      </c>
      <c r="L138" s="679">
        <v>81101500</v>
      </c>
      <c r="M138" s="58" t="s">
        <v>106262</v>
      </c>
      <c r="N138" s="59">
        <v>45200</v>
      </c>
      <c r="O138" s="59" t="s">
        <v>368</v>
      </c>
      <c r="P138" s="60" t="s">
        <v>371</v>
      </c>
      <c r="Q138" s="60" t="s">
        <v>221</v>
      </c>
      <c r="R138" s="717">
        <v>6232359.6699999999</v>
      </c>
      <c r="S138" s="62"/>
      <c r="T138" s="72"/>
      <c r="U138" s="64" t="s">
        <v>189</v>
      </c>
      <c r="V138" s="64"/>
      <c r="W138" s="776"/>
      <c r="X138" s="804"/>
      <c r="Y138" s="776"/>
      <c r="Z138" s="788"/>
    </row>
    <row r="139" spans="2:26" ht="75" customHeight="1" x14ac:dyDescent="0.2">
      <c r="B139" s="321"/>
      <c r="C139" s="93"/>
      <c r="D139" s="93"/>
      <c r="E139" s="93"/>
      <c r="F139" s="93"/>
      <c r="G139" s="93"/>
      <c r="H139" s="93"/>
      <c r="I139" s="93"/>
      <c r="J139" s="344"/>
      <c r="K139" s="344" t="s">
        <v>106278</v>
      </c>
      <c r="L139" s="679" t="s">
        <v>106126</v>
      </c>
      <c r="M139" s="100" t="s">
        <v>106127</v>
      </c>
      <c r="N139" s="59">
        <v>45000</v>
      </c>
      <c r="O139" s="59" t="s">
        <v>438</v>
      </c>
      <c r="P139" s="60" t="s">
        <v>305</v>
      </c>
      <c r="Q139" s="60" t="s">
        <v>106041</v>
      </c>
      <c r="R139" s="719">
        <f>260000000-150000000-32000000-40000000-18000000-20000000</f>
        <v>0</v>
      </c>
      <c r="S139" s="684"/>
      <c r="T139" s="72"/>
      <c r="U139" s="64" t="s">
        <v>156</v>
      </c>
      <c r="V139" s="64"/>
      <c r="W139" s="776">
        <v>0</v>
      </c>
      <c r="X139" s="804"/>
      <c r="Y139" s="776"/>
      <c r="Z139" s="788">
        <f t="shared" si="2"/>
        <v>0</v>
      </c>
    </row>
    <row r="140" spans="2:26" ht="45" customHeight="1" x14ac:dyDescent="0.2">
      <c r="B140" s="321"/>
      <c r="C140" s="93"/>
      <c r="D140" s="93"/>
      <c r="E140" s="93"/>
      <c r="F140" s="93"/>
      <c r="G140" s="93"/>
      <c r="H140" s="93"/>
      <c r="I140" s="93"/>
      <c r="J140" s="344"/>
      <c r="K140" s="344" t="s">
        <v>106278</v>
      </c>
      <c r="L140" s="328">
        <v>81111800</v>
      </c>
      <c r="M140" s="129" t="s">
        <v>106179</v>
      </c>
      <c r="N140" s="59">
        <v>44935</v>
      </c>
      <c r="O140" s="59" t="s">
        <v>259</v>
      </c>
      <c r="P140" s="60" t="s">
        <v>326</v>
      </c>
      <c r="Q140" s="60" t="s">
        <v>430</v>
      </c>
      <c r="R140" s="717">
        <f>206000000-188038</f>
        <v>205811962</v>
      </c>
      <c r="S140" s="62"/>
      <c r="T140" s="63"/>
      <c r="U140" s="64" t="s">
        <v>156</v>
      </c>
      <c r="V140" s="64">
        <v>5823</v>
      </c>
      <c r="W140" s="776">
        <v>205811962</v>
      </c>
      <c r="X140" s="804">
        <v>92323</v>
      </c>
      <c r="Y140" s="776">
        <v>205811962</v>
      </c>
      <c r="Z140" s="788">
        <f t="shared" si="2"/>
        <v>0</v>
      </c>
    </row>
    <row r="141" spans="2:26" ht="45" customHeight="1" x14ac:dyDescent="0.2">
      <c r="B141" s="321"/>
      <c r="C141" s="93"/>
      <c r="D141" s="93"/>
      <c r="E141" s="93"/>
      <c r="F141" s="93"/>
      <c r="G141" s="93"/>
      <c r="H141" s="93"/>
      <c r="I141" s="93"/>
      <c r="J141" s="344"/>
      <c r="K141" s="344" t="s">
        <v>106278</v>
      </c>
      <c r="L141" s="328">
        <v>80101500</v>
      </c>
      <c r="M141" s="58" t="s">
        <v>106178</v>
      </c>
      <c r="N141" s="59">
        <v>44936</v>
      </c>
      <c r="O141" s="59" t="s">
        <v>261</v>
      </c>
      <c r="P141" s="60" t="s">
        <v>305</v>
      </c>
      <c r="Q141" s="60" t="s">
        <v>333</v>
      </c>
      <c r="R141" s="717">
        <v>52800000</v>
      </c>
      <c r="S141" s="62"/>
      <c r="T141" s="63"/>
      <c r="U141" s="64" t="s">
        <v>263</v>
      </c>
      <c r="V141" s="64">
        <v>68823</v>
      </c>
      <c r="W141" s="776">
        <v>52800000</v>
      </c>
      <c r="X141" s="804"/>
      <c r="Y141" s="776"/>
      <c r="Z141" s="788">
        <f t="shared" si="2"/>
        <v>-52800000</v>
      </c>
    </row>
    <row r="142" spans="2:26" ht="30" customHeight="1" x14ac:dyDescent="0.2">
      <c r="B142" s="321"/>
      <c r="C142" s="93"/>
      <c r="D142" s="93"/>
      <c r="E142" s="93"/>
      <c r="F142" s="93"/>
      <c r="G142" s="93"/>
      <c r="H142" s="93"/>
      <c r="I142" s="93"/>
      <c r="J142" s="344"/>
      <c r="K142" s="344" t="s">
        <v>106278</v>
      </c>
      <c r="L142" s="303">
        <v>80101500</v>
      </c>
      <c r="M142" s="129" t="s">
        <v>106130</v>
      </c>
      <c r="N142" s="59">
        <v>44936</v>
      </c>
      <c r="O142" s="59" t="s">
        <v>261</v>
      </c>
      <c r="P142" s="60" t="s">
        <v>234</v>
      </c>
      <c r="Q142" s="60" t="s">
        <v>430</v>
      </c>
      <c r="R142" s="717">
        <f>26565000-2772000</f>
        <v>23793000</v>
      </c>
      <c r="S142" s="62"/>
      <c r="T142" s="63"/>
      <c r="U142" s="64" t="s">
        <v>263</v>
      </c>
      <c r="V142" s="64">
        <v>15223</v>
      </c>
      <c r="W142" s="776">
        <v>23793000</v>
      </c>
      <c r="X142" s="804">
        <v>32023</v>
      </c>
      <c r="Y142" s="776">
        <v>23793000</v>
      </c>
      <c r="Z142" s="788">
        <f t="shared" si="2"/>
        <v>0</v>
      </c>
    </row>
    <row r="143" spans="2:26" ht="45" customHeight="1" x14ac:dyDescent="0.2">
      <c r="B143" s="321"/>
      <c r="C143" s="93"/>
      <c r="D143" s="93"/>
      <c r="E143" s="93"/>
      <c r="F143" s="93"/>
      <c r="G143" s="93"/>
      <c r="H143" s="93"/>
      <c r="I143" s="93"/>
      <c r="J143" s="344"/>
      <c r="K143" s="344" t="s">
        <v>106278</v>
      </c>
      <c r="L143" s="790" t="s">
        <v>106220</v>
      </c>
      <c r="M143" s="129" t="s">
        <v>106219</v>
      </c>
      <c r="N143" s="59">
        <v>45170</v>
      </c>
      <c r="O143" s="59" t="s">
        <v>369</v>
      </c>
      <c r="P143" s="60"/>
      <c r="Q143" s="60"/>
      <c r="R143" s="717">
        <v>32000000</v>
      </c>
      <c r="S143" s="62"/>
      <c r="T143" s="63"/>
      <c r="U143" s="64" t="s">
        <v>156</v>
      </c>
      <c r="V143" s="64">
        <v>92023</v>
      </c>
      <c r="W143" s="776">
        <v>32000000</v>
      </c>
      <c r="X143" s="804"/>
      <c r="Y143" s="776"/>
      <c r="Z143" s="788">
        <f t="shared" si="2"/>
        <v>-32000000</v>
      </c>
    </row>
    <row r="144" spans="2:26" ht="30" customHeight="1" x14ac:dyDescent="0.2">
      <c r="B144" s="321"/>
      <c r="C144" s="93"/>
      <c r="D144" s="93"/>
      <c r="E144" s="93"/>
      <c r="F144" s="93"/>
      <c r="G144" s="93"/>
      <c r="H144" s="93"/>
      <c r="I144" s="93"/>
      <c r="J144" s="344"/>
      <c r="K144" s="344" t="s">
        <v>106278</v>
      </c>
      <c r="L144" s="303">
        <v>80161500</v>
      </c>
      <c r="M144" s="129" t="s">
        <v>106217</v>
      </c>
      <c r="N144" s="59">
        <v>45195</v>
      </c>
      <c r="O144" s="59" t="s">
        <v>369</v>
      </c>
      <c r="P144" s="60" t="s">
        <v>106221</v>
      </c>
      <c r="Q144" s="60" t="s">
        <v>430</v>
      </c>
      <c r="R144" s="717">
        <v>9000000</v>
      </c>
      <c r="S144" s="62"/>
      <c r="T144" s="63"/>
      <c r="U144" s="64" t="s">
        <v>106218</v>
      </c>
      <c r="V144" s="64">
        <v>92523</v>
      </c>
      <c r="W144" s="776">
        <v>9000000</v>
      </c>
      <c r="X144" s="804">
        <v>222123</v>
      </c>
      <c r="Y144" s="776">
        <v>7855467</v>
      </c>
      <c r="Z144" s="788">
        <f t="shared" si="2"/>
        <v>-1144533</v>
      </c>
    </row>
    <row r="145" spans="2:26" ht="30" customHeight="1" x14ac:dyDescent="0.2">
      <c r="B145" s="321"/>
      <c r="C145" s="93"/>
      <c r="D145" s="93"/>
      <c r="E145" s="93"/>
      <c r="F145" s="93"/>
      <c r="G145" s="93"/>
      <c r="H145" s="93"/>
      <c r="I145" s="93"/>
      <c r="J145" s="344"/>
      <c r="K145" s="344" t="s">
        <v>106278</v>
      </c>
      <c r="L145" s="328">
        <v>80111600</v>
      </c>
      <c r="M145" s="58" t="s">
        <v>106131</v>
      </c>
      <c r="N145" s="59">
        <v>44970</v>
      </c>
      <c r="O145" s="59" t="s">
        <v>256</v>
      </c>
      <c r="P145" s="60" t="s">
        <v>326</v>
      </c>
      <c r="Q145" s="60" t="s">
        <v>333</v>
      </c>
      <c r="R145" s="717">
        <f>25000000+35000000-60000000</f>
        <v>0</v>
      </c>
      <c r="S145" s="62"/>
      <c r="T145" s="63"/>
      <c r="U145" s="64" t="s">
        <v>263</v>
      </c>
      <c r="V145" s="64"/>
      <c r="W145" s="776"/>
      <c r="X145" s="804"/>
      <c r="Y145" s="776"/>
      <c r="Z145" s="788">
        <f t="shared" si="2"/>
        <v>0</v>
      </c>
    </row>
    <row r="146" spans="2:26"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5">
        <f>+R147+R151</f>
        <v>85687647</v>
      </c>
      <c r="S146" s="212"/>
      <c r="T146" s="212"/>
      <c r="U146" s="49"/>
      <c r="V146" s="49"/>
      <c r="W146" s="773"/>
      <c r="X146" s="800"/>
      <c r="Y146" s="773"/>
      <c r="Z146" s="787"/>
    </row>
    <row r="147" spans="2:26"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6">
        <f>SUM(R148+R149+R150)</f>
        <v>72000000</v>
      </c>
      <c r="S147" s="213"/>
      <c r="T147" s="213"/>
      <c r="U147" s="71"/>
      <c r="V147" s="71"/>
      <c r="W147" s="773"/>
      <c r="X147" s="800"/>
      <c r="Y147" s="773"/>
      <c r="Z147" s="787"/>
    </row>
    <row r="148" spans="2:26" ht="15" customHeight="1" x14ac:dyDescent="0.2">
      <c r="B148" s="321"/>
      <c r="C148" s="93"/>
      <c r="D148" s="93"/>
      <c r="E148" s="93"/>
      <c r="F148" s="93"/>
      <c r="G148" s="93"/>
      <c r="H148" s="93"/>
      <c r="I148" s="93"/>
      <c r="J148" s="344"/>
      <c r="K148" s="344" t="s">
        <v>106279</v>
      </c>
      <c r="L148" s="328"/>
      <c r="M148" s="58" t="s">
        <v>182</v>
      </c>
      <c r="N148" s="59">
        <v>44928</v>
      </c>
      <c r="O148" s="59" t="s">
        <v>261</v>
      </c>
      <c r="P148" s="3" t="s">
        <v>364</v>
      </c>
      <c r="Q148" s="60" t="s">
        <v>231</v>
      </c>
      <c r="R148" s="717">
        <v>55000000</v>
      </c>
      <c r="S148" s="62"/>
      <c r="T148" s="97"/>
      <c r="U148" s="64" t="s">
        <v>188</v>
      </c>
      <c r="V148" s="58" t="s">
        <v>106248</v>
      </c>
      <c r="W148" s="776">
        <v>45864488</v>
      </c>
      <c r="X148" s="801" t="s">
        <v>106249</v>
      </c>
      <c r="Y148" s="776">
        <v>45864488</v>
      </c>
      <c r="Z148" s="788">
        <f>+Y148-R148</f>
        <v>-9135512</v>
      </c>
    </row>
    <row r="149" spans="2:26" ht="15" customHeight="1" x14ac:dyDescent="0.2">
      <c r="B149" s="321"/>
      <c r="C149" s="93"/>
      <c r="D149" s="93"/>
      <c r="E149" s="93"/>
      <c r="F149" s="93"/>
      <c r="G149" s="93"/>
      <c r="H149" s="93"/>
      <c r="I149" s="93"/>
      <c r="J149" s="344"/>
      <c r="K149" s="344" t="s">
        <v>106279</v>
      </c>
      <c r="L149" s="328"/>
      <c r="M149" s="129" t="s">
        <v>183</v>
      </c>
      <c r="N149" s="59">
        <v>44928</v>
      </c>
      <c r="O149" s="59" t="s">
        <v>261</v>
      </c>
      <c r="P149" s="3" t="s">
        <v>364</v>
      </c>
      <c r="Q149" s="60" t="s">
        <v>231</v>
      </c>
      <c r="R149" s="717">
        <v>15000000</v>
      </c>
      <c r="S149" s="62"/>
      <c r="T149" s="63"/>
      <c r="U149" s="64" t="s">
        <v>188</v>
      </c>
      <c r="V149" s="64"/>
      <c r="W149" s="776"/>
      <c r="X149" s="804"/>
      <c r="Y149" s="776"/>
      <c r="Z149" s="788">
        <f t="shared" ref="Z149:Z212" si="3">+Y149-R149</f>
        <v>-15000000</v>
      </c>
    </row>
    <row r="150" spans="2:26" ht="15" customHeight="1" x14ac:dyDescent="0.2">
      <c r="B150" s="321"/>
      <c r="C150" s="93"/>
      <c r="D150" s="93"/>
      <c r="E150" s="93"/>
      <c r="F150" s="93"/>
      <c r="G150" s="93"/>
      <c r="H150" s="93"/>
      <c r="I150" s="93"/>
      <c r="J150" s="344"/>
      <c r="K150" s="344" t="s">
        <v>106279</v>
      </c>
      <c r="L150" s="328"/>
      <c r="M150" s="129" t="s">
        <v>184</v>
      </c>
      <c r="N150" s="59" t="s">
        <v>231</v>
      </c>
      <c r="O150" s="59" t="s">
        <v>231</v>
      </c>
      <c r="P150" s="60" t="s">
        <v>231</v>
      </c>
      <c r="Q150" s="60" t="s">
        <v>231</v>
      </c>
      <c r="R150" s="717">
        <v>2000000</v>
      </c>
      <c r="S150" s="62"/>
      <c r="T150" s="97"/>
      <c r="U150" s="64" t="s">
        <v>106165</v>
      </c>
      <c r="V150" s="64"/>
      <c r="W150" s="776"/>
      <c r="X150" s="804"/>
      <c r="Y150" s="776"/>
      <c r="Z150" s="788">
        <f t="shared" si="3"/>
        <v>-2000000</v>
      </c>
    </row>
    <row r="151" spans="2:26"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6">
        <f>SUM(R152+R153)</f>
        <v>13687647</v>
      </c>
      <c r="S151" s="213"/>
      <c r="T151" s="213"/>
      <c r="U151" s="71"/>
      <c r="V151" s="71"/>
      <c r="W151" s="773"/>
      <c r="X151" s="800"/>
      <c r="Y151" s="773"/>
      <c r="Z151" s="787"/>
    </row>
    <row r="152" spans="2:26" ht="30" customHeight="1" x14ac:dyDescent="0.2">
      <c r="B152" s="344"/>
      <c r="C152" s="344"/>
      <c r="D152" s="344"/>
      <c r="E152" s="344"/>
      <c r="F152" s="344"/>
      <c r="G152" s="344"/>
      <c r="H152" s="344"/>
      <c r="I152" s="344"/>
      <c r="J152" s="344"/>
      <c r="K152" s="344" t="s">
        <v>106279</v>
      </c>
      <c r="L152" s="328">
        <v>81112100</v>
      </c>
      <c r="M152" s="58" t="s">
        <v>106145</v>
      </c>
      <c r="N152" s="59">
        <v>44936</v>
      </c>
      <c r="O152" s="59" t="s">
        <v>261</v>
      </c>
      <c r="P152" s="60" t="s">
        <v>316</v>
      </c>
      <c r="Q152" s="60" t="s">
        <v>236</v>
      </c>
      <c r="R152" s="717">
        <f>3270000+1417647+510392</f>
        <v>5198039</v>
      </c>
      <c r="S152" s="62"/>
      <c r="T152" s="97"/>
      <c r="U152" s="64" t="s">
        <v>156</v>
      </c>
      <c r="V152" s="64">
        <v>7323</v>
      </c>
      <c r="W152" s="776">
        <f>2362745+1417647</f>
        <v>3780392</v>
      </c>
      <c r="X152" s="777" t="s">
        <v>106247</v>
      </c>
      <c r="Y152" s="776">
        <v>3307843</v>
      </c>
      <c r="Z152" s="788">
        <f t="shared" si="3"/>
        <v>-1890196</v>
      </c>
    </row>
    <row r="153" spans="2:26"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7">
        <f>9000000-510392</f>
        <v>8489608</v>
      </c>
      <c r="S153" s="62" t="s">
        <v>211</v>
      </c>
      <c r="T153" s="717">
        <v>3120000</v>
      </c>
      <c r="U153" s="64" t="s">
        <v>156</v>
      </c>
      <c r="V153" s="64">
        <v>48323</v>
      </c>
      <c r="W153" s="776">
        <v>2880000</v>
      </c>
      <c r="X153" s="801"/>
      <c r="Y153" s="776">
        <v>1547766.36</v>
      </c>
      <c r="Z153" s="788">
        <f t="shared" si="3"/>
        <v>-6941841.6399999997</v>
      </c>
    </row>
    <row r="154" spans="2:26" ht="15" customHeight="1" x14ac:dyDescent="0.2">
      <c r="B154" s="45" t="s">
        <v>7</v>
      </c>
      <c r="C154" s="45" t="s">
        <v>20</v>
      </c>
      <c r="D154" s="45" t="s">
        <v>20</v>
      </c>
      <c r="E154" s="45" t="s">
        <v>20</v>
      </c>
      <c r="F154" s="45" t="s">
        <v>16</v>
      </c>
      <c r="G154" s="675" t="s">
        <v>13</v>
      </c>
      <c r="H154" s="45"/>
      <c r="I154" s="45"/>
      <c r="J154" s="45"/>
      <c r="K154" s="330"/>
      <c r="L154" s="330"/>
      <c r="M154" s="234" t="s">
        <v>95</v>
      </c>
      <c r="N154" s="47"/>
      <c r="O154" s="47"/>
      <c r="P154" s="48"/>
      <c r="Q154" s="48"/>
      <c r="R154" s="715">
        <f>+R155</f>
        <v>24000000</v>
      </c>
      <c r="S154" s="212"/>
      <c r="T154" s="212"/>
      <c r="U154" s="49"/>
      <c r="V154" s="49"/>
      <c r="W154" s="773"/>
      <c r="X154" s="800"/>
      <c r="Y154" s="773"/>
      <c r="Z154" s="787"/>
    </row>
    <row r="155" spans="2:26"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6">
        <f>+R156</f>
        <v>24000000</v>
      </c>
      <c r="S155" s="213"/>
      <c r="T155" s="213"/>
      <c r="U155" s="71"/>
      <c r="V155" s="71"/>
      <c r="W155" s="773"/>
      <c r="X155" s="800"/>
      <c r="Y155" s="773"/>
      <c r="Z155" s="787"/>
    </row>
    <row r="156" spans="2:26"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6">
        <f>+R157</f>
        <v>24000000</v>
      </c>
      <c r="S156" s="213"/>
      <c r="T156" s="213"/>
      <c r="U156" s="71"/>
      <c r="V156" s="71"/>
      <c r="W156" s="773"/>
      <c r="X156" s="800"/>
      <c r="Y156" s="773"/>
      <c r="Z156" s="787"/>
    </row>
    <row r="157" spans="2:26" ht="30" customHeight="1" x14ac:dyDescent="0.2">
      <c r="B157" s="321"/>
      <c r="C157" s="93"/>
      <c r="D157" s="93"/>
      <c r="E157" s="93"/>
      <c r="F157" s="93"/>
      <c r="G157" s="93"/>
      <c r="H157" s="93"/>
      <c r="I157" s="93"/>
      <c r="J157" s="344"/>
      <c r="K157" s="344" t="str">
        <f>B155&amp;"-"&amp;C155&amp;"-"&amp;D155&amp;"-"&amp;E155&amp;"-"&amp;F155&amp;"-"&amp;G155</f>
        <v>A-02-02-02-008-005</v>
      </c>
      <c r="L157" s="679" t="s">
        <v>106098</v>
      </c>
      <c r="M157" s="129" t="s">
        <v>106099</v>
      </c>
      <c r="N157" s="59">
        <v>45027</v>
      </c>
      <c r="O157" s="59" t="s">
        <v>438</v>
      </c>
      <c r="P157" s="60" t="s">
        <v>371</v>
      </c>
      <c r="Q157" s="60" t="s">
        <v>292</v>
      </c>
      <c r="R157" s="717">
        <f>24000000-24000000+24000000</f>
        <v>24000000</v>
      </c>
      <c r="S157" s="62"/>
      <c r="T157" s="97"/>
      <c r="U157" s="64" t="s">
        <v>167</v>
      </c>
      <c r="V157" s="64"/>
      <c r="W157" s="776"/>
      <c r="X157" s="804"/>
      <c r="Y157" s="776"/>
      <c r="Z157" s="788">
        <f t="shared" si="3"/>
        <v>-24000000</v>
      </c>
    </row>
    <row r="158" spans="2:26"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5">
        <f>+R159</f>
        <v>202750000</v>
      </c>
      <c r="S158" s="212"/>
      <c r="T158" s="212"/>
      <c r="U158" s="49"/>
      <c r="V158" s="49"/>
      <c r="W158" s="773"/>
      <c r="X158" s="800"/>
      <c r="Y158" s="773"/>
      <c r="Z158" s="787"/>
    </row>
    <row r="159" spans="2:26"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6">
        <f>+R160+R162+R165</f>
        <v>202750000</v>
      </c>
      <c r="S159" s="213"/>
      <c r="T159" s="213"/>
      <c r="U159" s="71"/>
      <c r="V159" s="71"/>
      <c r="W159" s="773"/>
      <c r="X159" s="800"/>
      <c r="Y159" s="773"/>
      <c r="Z159" s="787"/>
    </row>
    <row r="160" spans="2:26"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6">
        <f>+R161</f>
        <v>70000000</v>
      </c>
      <c r="S160" s="213"/>
      <c r="T160" s="213"/>
      <c r="U160" s="71"/>
      <c r="V160" s="71"/>
      <c r="W160" s="773"/>
      <c r="X160" s="800"/>
      <c r="Y160" s="773"/>
      <c r="Z160" s="787"/>
    </row>
    <row r="161" spans="2:26" ht="60" customHeight="1" x14ac:dyDescent="0.2">
      <c r="B161" s="321"/>
      <c r="C161" s="93"/>
      <c r="D161" s="93"/>
      <c r="E161" s="93"/>
      <c r="F161" s="93"/>
      <c r="G161" s="93"/>
      <c r="H161" s="93"/>
      <c r="I161" s="93"/>
      <c r="J161" s="344"/>
      <c r="K161" s="344" t="str">
        <f>B159&amp;"-"&amp;C159&amp;"-"&amp;D159&amp;"-"&amp;E159&amp;"-"&amp;F159&amp;"-"&amp;G159</f>
        <v>A-02-02-02-008-007</v>
      </c>
      <c r="L161" s="679" t="s">
        <v>106214</v>
      </c>
      <c r="M161" s="58" t="s">
        <v>106128</v>
      </c>
      <c r="N161" s="59">
        <v>44972</v>
      </c>
      <c r="O161" s="59" t="s">
        <v>256</v>
      </c>
      <c r="P161" s="60" t="s">
        <v>338</v>
      </c>
      <c r="Q161" s="60" t="s">
        <v>333</v>
      </c>
      <c r="R161" s="717">
        <v>70000000</v>
      </c>
      <c r="S161" s="62"/>
      <c r="T161" s="63"/>
      <c r="U161" s="64" t="s">
        <v>156</v>
      </c>
      <c r="V161" s="64">
        <v>76823</v>
      </c>
      <c r="W161" s="776">
        <v>70000000</v>
      </c>
      <c r="X161" s="804">
        <v>222223</v>
      </c>
      <c r="Y161" s="776">
        <v>7000000</v>
      </c>
      <c r="Z161" s="788">
        <f t="shared" si="3"/>
        <v>-63000000</v>
      </c>
    </row>
    <row r="162" spans="2:26"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6">
        <f>SUM(R163:R164)</f>
        <v>30000000</v>
      </c>
      <c r="S162" s="213"/>
      <c r="T162" s="213"/>
      <c r="U162" s="71"/>
      <c r="V162" s="71"/>
      <c r="W162" s="773"/>
      <c r="X162" s="800"/>
      <c r="Y162" s="773"/>
      <c r="Z162" s="787"/>
    </row>
    <row r="163" spans="2:26" ht="45" customHeight="1" x14ac:dyDescent="0.2">
      <c r="B163" s="321"/>
      <c r="C163" s="93"/>
      <c r="D163" s="93"/>
      <c r="E163" s="93"/>
      <c r="F163" s="93"/>
      <c r="G163" s="93"/>
      <c r="H163" s="93"/>
      <c r="I163" s="93"/>
      <c r="J163" s="344"/>
      <c r="K163" s="344" t="s">
        <v>106280</v>
      </c>
      <c r="L163" s="679"/>
      <c r="M163" s="58" t="s">
        <v>106176</v>
      </c>
      <c r="N163" s="59">
        <v>44929</v>
      </c>
      <c r="O163" s="59" t="s">
        <v>261</v>
      </c>
      <c r="P163" s="60" t="s">
        <v>305</v>
      </c>
      <c r="Q163" s="60" t="s">
        <v>425</v>
      </c>
      <c r="R163" s="717">
        <v>15000000</v>
      </c>
      <c r="S163" s="62"/>
      <c r="T163" s="63"/>
      <c r="U163" s="64" t="s">
        <v>166</v>
      </c>
      <c r="V163" s="64">
        <v>12923</v>
      </c>
      <c r="W163" s="776">
        <v>15000000</v>
      </c>
      <c r="X163" s="804">
        <v>68423</v>
      </c>
      <c r="Y163" s="776">
        <v>15000000</v>
      </c>
      <c r="Z163" s="788">
        <f t="shared" si="3"/>
        <v>0</v>
      </c>
    </row>
    <row r="164" spans="2:26" ht="59.25" customHeight="1" x14ac:dyDescent="0.2">
      <c r="B164" s="321"/>
      <c r="C164" s="93"/>
      <c r="D164" s="93"/>
      <c r="E164" s="93"/>
      <c r="F164" s="93"/>
      <c r="G164" s="93"/>
      <c r="H164" s="93"/>
      <c r="I164" s="93"/>
      <c r="J164" s="344"/>
      <c r="K164" s="344" t="str">
        <f>B162&amp;"-"&amp;C162&amp;"-"&amp;D162&amp;"-"&amp;E162&amp;"-"&amp;F162&amp;"-"&amp;G162</f>
        <v>A-02-02-02-008-007</v>
      </c>
      <c r="L164" s="679" t="s">
        <v>207</v>
      </c>
      <c r="M164" s="58" t="s">
        <v>106100</v>
      </c>
      <c r="N164" s="59">
        <v>45031</v>
      </c>
      <c r="O164" s="59" t="s">
        <v>438</v>
      </c>
      <c r="P164" s="3" t="s">
        <v>364</v>
      </c>
      <c r="Q164" s="59" t="s">
        <v>209</v>
      </c>
      <c r="R164" s="717">
        <v>15000000</v>
      </c>
      <c r="S164" s="62" t="s">
        <v>211</v>
      </c>
      <c r="T164" s="72">
        <v>31080000</v>
      </c>
      <c r="U164" s="64" t="s">
        <v>166</v>
      </c>
      <c r="V164" s="64">
        <v>48323</v>
      </c>
      <c r="W164" s="776">
        <v>15000000</v>
      </c>
      <c r="X164" s="804"/>
      <c r="Y164" s="776"/>
      <c r="Z164" s="788">
        <f t="shared" si="3"/>
        <v>-15000000</v>
      </c>
    </row>
    <row r="165" spans="2:26"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6">
        <f>SUM(R166:R172)</f>
        <v>102750000</v>
      </c>
      <c r="S165" s="213"/>
      <c r="T165" s="213"/>
      <c r="U165" s="71"/>
      <c r="V165" s="71"/>
      <c r="W165" s="773"/>
      <c r="X165" s="800"/>
      <c r="Y165" s="773"/>
      <c r="Z165" s="787"/>
    </row>
    <row r="166" spans="2:26" ht="72.75" customHeight="1" x14ac:dyDescent="0.2">
      <c r="B166" s="321"/>
      <c r="C166" s="93"/>
      <c r="D166" s="93"/>
      <c r="E166" s="93"/>
      <c r="F166" s="93"/>
      <c r="G166" s="93"/>
      <c r="H166" s="93"/>
      <c r="I166" s="93"/>
      <c r="J166" s="344"/>
      <c r="K166" s="344" t="s">
        <v>106280</v>
      </c>
      <c r="L166" s="679"/>
      <c r="M166" s="58" t="s">
        <v>517</v>
      </c>
      <c r="N166" s="59">
        <v>45078</v>
      </c>
      <c r="O166" s="59" t="s">
        <v>325</v>
      </c>
      <c r="P166" s="60" t="s">
        <v>305</v>
      </c>
      <c r="Q166" s="59" t="s">
        <v>333</v>
      </c>
      <c r="R166" s="717">
        <v>9960000</v>
      </c>
      <c r="S166" s="62"/>
      <c r="T166" s="63"/>
      <c r="U166" s="64" t="s">
        <v>166</v>
      </c>
      <c r="V166" s="64">
        <v>7423</v>
      </c>
      <c r="W166" s="776">
        <v>9960000</v>
      </c>
      <c r="X166" s="801" t="s">
        <v>106250</v>
      </c>
      <c r="Y166" s="776">
        <v>9960000</v>
      </c>
      <c r="Z166" s="788">
        <f t="shared" si="3"/>
        <v>0</v>
      </c>
    </row>
    <row r="167" spans="2:26" ht="38.25" customHeight="1" x14ac:dyDescent="0.2">
      <c r="B167" s="322"/>
      <c r="C167" s="301"/>
      <c r="D167" s="301"/>
      <c r="E167" s="301"/>
      <c r="F167" s="301"/>
      <c r="G167" s="301"/>
      <c r="H167" s="301"/>
      <c r="I167" s="301"/>
      <c r="J167" s="307"/>
      <c r="K167" s="344" t="s">
        <v>106280</v>
      </c>
      <c r="L167" s="679" t="s">
        <v>419</v>
      </c>
      <c r="M167" s="58" t="s">
        <v>185</v>
      </c>
      <c r="N167" s="59">
        <v>44947</v>
      </c>
      <c r="O167" s="59" t="s">
        <v>259</v>
      </c>
      <c r="P167" s="3" t="s">
        <v>364</v>
      </c>
      <c r="Q167" s="59" t="s">
        <v>333</v>
      </c>
      <c r="R167" s="717">
        <v>40000000</v>
      </c>
      <c r="S167" s="62"/>
      <c r="T167" s="61"/>
      <c r="U167" s="64" t="s">
        <v>358</v>
      </c>
      <c r="V167" s="64">
        <v>19523</v>
      </c>
      <c r="W167" s="776">
        <v>40000000</v>
      </c>
      <c r="X167" s="804">
        <v>130923</v>
      </c>
      <c r="Y167" s="776">
        <v>40000000</v>
      </c>
      <c r="Z167" s="788">
        <f t="shared" si="3"/>
        <v>0</v>
      </c>
    </row>
    <row r="168" spans="2:26" ht="75" customHeight="1" x14ac:dyDescent="0.2">
      <c r="B168" s="322"/>
      <c r="C168" s="301"/>
      <c r="D168" s="301"/>
      <c r="E168" s="301"/>
      <c r="F168" s="301"/>
      <c r="G168" s="301"/>
      <c r="H168" s="301"/>
      <c r="I168" s="301"/>
      <c r="J168" s="307"/>
      <c r="K168" s="307" t="s">
        <v>106280</v>
      </c>
      <c r="L168" s="679">
        <v>72154100</v>
      </c>
      <c r="M168" s="58" t="s">
        <v>106101</v>
      </c>
      <c r="N168" s="59">
        <v>45031</v>
      </c>
      <c r="O168" s="59" t="s">
        <v>438</v>
      </c>
      <c r="P168" s="3" t="s">
        <v>364</v>
      </c>
      <c r="Q168" s="59" t="s">
        <v>209</v>
      </c>
      <c r="R168" s="717">
        <v>9960000</v>
      </c>
      <c r="S168" s="62" t="s">
        <v>211</v>
      </c>
      <c r="T168" s="72">
        <v>20640000</v>
      </c>
      <c r="U168" s="64" t="s">
        <v>166</v>
      </c>
      <c r="V168" s="64">
        <v>48323</v>
      </c>
      <c r="W168" s="776">
        <v>9960000</v>
      </c>
      <c r="X168" s="804"/>
      <c r="Y168" s="776">
        <v>9960000</v>
      </c>
      <c r="Z168" s="788">
        <f t="shared" si="3"/>
        <v>0</v>
      </c>
    </row>
    <row r="169" spans="2:26" ht="45" customHeight="1" x14ac:dyDescent="0.2">
      <c r="B169" s="322"/>
      <c r="C169" s="301"/>
      <c r="D169" s="301"/>
      <c r="E169" s="301"/>
      <c r="F169" s="301"/>
      <c r="G169" s="301"/>
      <c r="H169" s="301"/>
      <c r="I169" s="301"/>
      <c r="J169" s="307"/>
      <c r="K169" s="307" t="s">
        <v>106280</v>
      </c>
      <c r="L169" s="679" t="s">
        <v>106102</v>
      </c>
      <c r="M169" s="58" t="s">
        <v>289</v>
      </c>
      <c r="N169" s="59">
        <v>45047</v>
      </c>
      <c r="O169" s="59" t="s">
        <v>325</v>
      </c>
      <c r="P169" s="60" t="s">
        <v>442</v>
      </c>
      <c r="Q169" s="60" t="s">
        <v>210</v>
      </c>
      <c r="R169" s="717">
        <v>5830000</v>
      </c>
      <c r="S169" s="62"/>
      <c r="T169" s="63"/>
      <c r="U169" s="64" t="s">
        <v>166</v>
      </c>
      <c r="V169" s="64">
        <v>55523</v>
      </c>
      <c r="W169" s="776">
        <v>5830000</v>
      </c>
      <c r="X169" s="804">
        <v>159223</v>
      </c>
      <c r="Y169" s="776">
        <v>5830000</v>
      </c>
      <c r="Z169" s="788">
        <f t="shared" si="3"/>
        <v>0</v>
      </c>
    </row>
    <row r="170" spans="2:26" ht="30" customHeight="1" x14ac:dyDescent="0.2">
      <c r="B170" s="322"/>
      <c r="C170" s="301"/>
      <c r="D170" s="301"/>
      <c r="E170" s="301"/>
      <c r="F170" s="301"/>
      <c r="G170" s="301"/>
      <c r="H170" s="301"/>
      <c r="I170" s="301"/>
      <c r="J170" s="307"/>
      <c r="K170" s="307" t="s">
        <v>106280</v>
      </c>
      <c r="L170" s="682">
        <v>86101700</v>
      </c>
      <c r="M170" s="4" t="s">
        <v>106064</v>
      </c>
      <c r="N170" s="2">
        <v>45055</v>
      </c>
      <c r="O170" s="59" t="s">
        <v>367</v>
      </c>
      <c r="P170" s="60" t="s">
        <v>326</v>
      </c>
      <c r="Q170" s="3" t="s">
        <v>432</v>
      </c>
      <c r="R170" s="717">
        <v>15000000</v>
      </c>
      <c r="S170" s="62"/>
      <c r="T170" s="63"/>
      <c r="U170" s="64" t="s">
        <v>401</v>
      </c>
      <c r="V170" s="64">
        <v>94123</v>
      </c>
      <c r="W170" s="776">
        <v>15000000</v>
      </c>
      <c r="X170" s="804"/>
      <c r="Y170" s="776"/>
      <c r="Z170" s="788">
        <f t="shared" si="3"/>
        <v>-15000000</v>
      </c>
    </row>
    <row r="171" spans="2:26" ht="15" customHeight="1" x14ac:dyDescent="0.2">
      <c r="B171" s="322"/>
      <c r="C171" s="702"/>
      <c r="D171" s="702"/>
      <c r="E171" s="702"/>
      <c r="F171" s="702"/>
      <c r="G171" s="702"/>
      <c r="H171" s="702"/>
      <c r="I171" s="702"/>
      <c r="J171" s="307"/>
      <c r="K171" s="307" t="s">
        <v>106280</v>
      </c>
      <c r="L171" s="708"/>
      <c r="M171" s="575" t="s">
        <v>186</v>
      </c>
      <c r="N171" s="2" t="s">
        <v>231</v>
      </c>
      <c r="O171" s="2" t="s">
        <v>231</v>
      </c>
      <c r="P171" s="2" t="s">
        <v>231</v>
      </c>
      <c r="Q171" s="2" t="s">
        <v>231</v>
      </c>
      <c r="R171" s="717">
        <v>12000000</v>
      </c>
      <c r="S171" s="62"/>
      <c r="T171" s="63"/>
      <c r="U171" s="64" t="s">
        <v>106165</v>
      </c>
      <c r="V171" s="58" t="s">
        <v>106251</v>
      </c>
      <c r="W171" s="776">
        <v>5641833.0199999996</v>
      </c>
      <c r="X171" s="804"/>
      <c r="Y171" s="776">
        <v>5641833.0199999996</v>
      </c>
      <c r="Z171" s="788">
        <f t="shared" si="3"/>
        <v>-6358166.9800000004</v>
      </c>
    </row>
    <row r="172" spans="2:26" ht="15" customHeight="1" x14ac:dyDescent="0.2">
      <c r="B172" s="322"/>
      <c r="C172" s="781"/>
      <c r="D172" s="781"/>
      <c r="E172" s="781"/>
      <c r="F172" s="781"/>
      <c r="G172" s="781"/>
      <c r="H172" s="781"/>
      <c r="I172" s="781"/>
      <c r="J172" s="307"/>
      <c r="K172" s="307" t="s">
        <v>106280</v>
      </c>
      <c r="L172" s="328">
        <v>81141500</v>
      </c>
      <c r="M172" s="58" t="s">
        <v>179</v>
      </c>
      <c r="N172" s="59">
        <v>44949</v>
      </c>
      <c r="O172" s="59" t="s">
        <v>256</v>
      </c>
      <c r="P172" s="60" t="s">
        <v>326</v>
      </c>
      <c r="Q172" s="60" t="s">
        <v>210</v>
      </c>
      <c r="R172" s="717">
        <f>10000000</f>
        <v>10000000</v>
      </c>
      <c r="S172" s="62"/>
      <c r="T172" s="63"/>
      <c r="U172" s="64" t="s">
        <v>187</v>
      </c>
      <c r="V172" s="64">
        <v>43023</v>
      </c>
      <c r="W172" s="776">
        <v>10000000</v>
      </c>
      <c r="X172" s="804">
        <v>109223</v>
      </c>
      <c r="Y172" s="776">
        <v>3141600</v>
      </c>
      <c r="Z172" s="788">
        <f t="shared" si="3"/>
        <v>-6858400</v>
      </c>
    </row>
    <row r="173" spans="2:26" ht="15" customHeight="1" x14ac:dyDescent="0.2">
      <c r="B173" s="199" t="s">
        <v>7</v>
      </c>
      <c r="C173" s="199" t="s">
        <v>20</v>
      </c>
      <c r="D173" s="199" t="s">
        <v>20</v>
      </c>
      <c r="E173" s="199" t="s">
        <v>20</v>
      </c>
      <c r="F173" s="199" t="s">
        <v>17</v>
      </c>
      <c r="G173" s="199"/>
      <c r="H173" s="199"/>
      <c r="I173" s="199"/>
      <c r="J173" s="199"/>
      <c r="K173" s="840"/>
      <c r="L173" s="329"/>
      <c r="M173" s="233" t="s">
        <v>100</v>
      </c>
      <c r="N173" s="41"/>
      <c r="O173" s="41"/>
      <c r="P173" s="42"/>
      <c r="Q173" s="42"/>
      <c r="R173" s="714">
        <f>+R174+R178+R181+R185</f>
        <v>395090112</v>
      </c>
      <c r="S173" s="211"/>
      <c r="T173" s="211"/>
      <c r="U173" s="43"/>
      <c r="V173" s="43"/>
      <c r="W173" s="773"/>
      <c r="X173" s="800"/>
      <c r="Y173" s="773"/>
      <c r="Z173" s="787"/>
    </row>
    <row r="174" spans="2:26"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5">
        <f>+R175</f>
        <v>62280000</v>
      </c>
      <c r="S174" s="212"/>
      <c r="T174" s="212"/>
      <c r="U174" s="49"/>
      <c r="V174" s="49"/>
      <c r="W174" s="773"/>
      <c r="X174" s="800"/>
      <c r="Y174" s="773"/>
      <c r="Z174" s="787"/>
    </row>
    <row r="175" spans="2:26"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6">
        <f>SUM(R176+R177)</f>
        <v>62280000</v>
      </c>
      <c r="S175" s="213"/>
      <c r="T175" s="213"/>
      <c r="U175" s="71"/>
      <c r="V175" s="71"/>
      <c r="W175" s="773"/>
      <c r="X175" s="800"/>
      <c r="Y175" s="773"/>
      <c r="Z175" s="787"/>
    </row>
    <row r="176" spans="2:26" ht="30" customHeight="1" x14ac:dyDescent="0.2">
      <c r="B176" s="321"/>
      <c r="C176" s="93"/>
      <c r="D176" s="93"/>
      <c r="E176" s="93"/>
      <c r="F176" s="93"/>
      <c r="G176" s="93"/>
      <c r="H176" s="93"/>
      <c r="I176" s="93"/>
      <c r="J176" s="344"/>
      <c r="K176" s="344" t="str">
        <f>B174&amp;"-"&amp;C174&amp;"-"&amp;D174&amp;"-"&amp;E174&amp;"-"&amp;F174&amp;"-"&amp;G174</f>
        <v>A-02-02-02-009-002</v>
      </c>
      <c r="L176" s="679" t="s">
        <v>314</v>
      </c>
      <c r="M176" s="58" t="s">
        <v>406</v>
      </c>
      <c r="N176" s="59">
        <v>45000</v>
      </c>
      <c r="O176" s="59" t="s">
        <v>315</v>
      </c>
      <c r="P176" s="60" t="s">
        <v>338</v>
      </c>
      <c r="Q176" s="60" t="s">
        <v>221</v>
      </c>
      <c r="R176" s="717">
        <v>50000000</v>
      </c>
      <c r="S176" s="62"/>
      <c r="T176" s="63"/>
      <c r="U176" s="64" t="s">
        <v>163</v>
      </c>
      <c r="V176" s="64">
        <v>76623</v>
      </c>
      <c r="W176" s="776">
        <v>50000000</v>
      </c>
      <c r="X176" s="804">
        <v>187823</v>
      </c>
      <c r="Y176" s="776">
        <v>22400000</v>
      </c>
      <c r="Z176" s="788">
        <f t="shared" si="3"/>
        <v>-27600000</v>
      </c>
    </row>
    <row r="177" spans="2:26" ht="30" customHeight="1" x14ac:dyDescent="0.2">
      <c r="B177" s="321"/>
      <c r="C177" s="93"/>
      <c r="D177" s="93"/>
      <c r="E177" s="93"/>
      <c r="F177" s="93"/>
      <c r="G177" s="93"/>
      <c r="H177" s="93"/>
      <c r="I177" s="93"/>
      <c r="J177" s="344"/>
      <c r="K177" s="344" t="s">
        <v>106281</v>
      </c>
      <c r="L177" s="328"/>
      <c r="M177" s="58" t="s">
        <v>106091</v>
      </c>
      <c r="N177" s="59">
        <v>44941</v>
      </c>
      <c r="O177" s="60" t="s">
        <v>231</v>
      </c>
      <c r="P177" s="60" t="s">
        <v>231</v>
      </c>
      <c r="Q177" s="60" t="s">
        <v>231</v>
      </c>
      <c r="R177" s="717">
        <f>40000000-30000000+2280000</f>
        <v>12280000</v>
      </c>
      <c r="S177" s="62"/>
      <c r="T177" s="63"/>
      <c r="U177" s="64" t="s">
        <v>163</v>
      </c>
      <c r="V177" s="58" t="s">
        <v>106252</v>
      </c>
      <c r="W177" s="776">
        <f>3000000+3480000+3520000+2280000</f>
        <v>12280000</v>
      </c>
      <c r="X177" s="801" t="s">
        <v>106253</v>
      </c>
      <c r="Y177" s="776">
        <v>12280000</v>
      </c>
      <c r="Z177" s="788">
        <f t="shared" si="3"/>
        <v>0</v>
      </c>
    </row>
    <row r="178" spans="2:26"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5">
        <f>+R179</f>
        <v>30000000</v>
      </c>
      <c r="S178" s="212"/>
      <c r="T178" s="212"/>
      <c r="U178" s="49"/>
      <c r="V178" s="49"/>
      <c r="W178" s="773"/>
      <c r="X178" s="800"/>
      <c r="Y178" s="773"/>
      <c r="Z178" s="787"/>
    </row>
    <row r="179" spans="2:26"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6">
        <f>+R180</f>
        <v>30000000</v>
      </c>
      <c r="S179" s="213"/>
      <c r="T179" s="213"/>
      <c r="U179" s="71"/>
      <c r="V179" s="71"/>
      <c r="W179" s="773"/>
      <c r="X179" s="800"/>
      <c r="Y179" s="773"/>
      <c r="Z179" s="787"/>
    </row>
    <row r="180" spans="2:26" ht="44.25" customHeight="1" x14ac:dyDescent="0.2">
      <c r="B180" s="321"/>
      <c r="C180" s="93"/>
      <c r="D180" s="93"/>
      <c r="E180" s="93"/>
      <c r="F180" s="93"/>
      <c r="G180" s="93"/>
      <c r="H180" s="93"/>
      <c r="I180" s="93"/>
      <c r="J180" s="344"/>
      <c r="K180" s="344" t="s">
        <v>106282</v>
      </c>
      <c r="L180" s="679" t="s">
        <v>336</v>
      </c>
      <c r="M180" s="58" t="s">
        <v>337</v>
      </c>
      <c r="N180" s="59">
        <v>45000</v>
      </c>
      <c r="O180" s="59" t="s">
        <v>315</v>
      </c>
      <c r="P180" s="60" t="s">
        <v>338</v>
      </c>
      <c r="Q180" s="3" t="s">
        <v>432</v>
      </c>
      <c r="R180" s="717">
        <v>30000000</v>
      </c>
      <c r="S180" s="62"/>
      <c r="T180" s="63"/>
      <c r="U180" s="64" t="s">
        <v>401</v>
      </c>
      <c r="V180" s="64">
        <v>19823</v>
      </c>
      <c r="W180" s="776">
        <v>30000000</v>
      </c>
      <c r="X180" s="804">
        <v>82323</v>
      </c>
      <c r="Y180" s="776">
        <v>22512000</v>
      </c>
      <c r="Z180" s="788">
        <f t="shared" si="3"/>
        <v>-7488000</v>
      </c>
    </row>
    <row r="181" spans="2:26"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5">
        <f>+R182</f>
        <v>227810112</v>
      </c>
      <c r="S181" s="212"/>
      <c r="T181" s="212"/>
      <c r="U181" s="49"/>
      <c r="V181" s="49"/>
      <c r="W181" s="773"/>
      <c r="X181" s="800"/>
      <c r="Y181" s="773"/>
      <c r="Z181" s="787"/>
    </row>
    <row r="182" spans="2:26"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8">
        <f>SUM(R183+R184)</f>
        <v>227810112</v>
      </c>
      <c r="S182" s="214"/>
      <c r="T182" s="214"/>
      <c r="U182" s="71"/>
      <c r="V182" s="71"/>
      <c r="W182" s="773"/>
      <c r="X182" s="800"/>
      <c r="Y182" s="773"/>
      <c r="Z182" s="787"/>
    </row>
    <row r="183" spans="2:26" ht="46.5" customHeight="1" x14ac:dyDescent="0.2">
      <c r="B183" s="321"/>
      <c r="C183" s="93"/>
      <c r="D183" s="93"/>
      <c r="E183" s="93"/>
      <c r="F183" s="93"/>
      <c r="G183" s="93"/>
      <c r="H183" s="93"/>
      <c r="I183" s="93"/>
      <c r="J183" s="344"/>
      <c r="K183" s="344" t="str">
        <f>B181&amp;"-"&amp;C181&amp;"-"&amp;D181&amp;"-"&amp;E181&amp;"-"&amp;F181&amp;"-"&amp;G181</f>
        <v>A-02-02-02-009-004</v>
      </c>
      <c r="L183" s="679" t="s">
        <v>106103</v>
      </c>
      <c r="M183" s="129" t="s">
        <v>106158</v>
      </c>
      <c r="N183" s="59">
        <v>44986</v>
      </c>
      <c r="O183" s="59" t="s">
        <v>315</v>
      </c>
      <c r="P183" s="60" t="s">
        <v>316</v>
      </c>
      <c r="Q183" s="60" t="s">
        <v>432</v>
      </c>
      <c r="R183" s="717">
        <v>20000000</v>
      </c>
      <c r="S183" s="62"/>
      <c r="T183" s="97"/>
      <c r="U183" s="58" t="s">
        <v>166</v>
      </c>
      <c r="V183" s="58">
        <v>35523</v>
      </c>
      <c r="W183" s="777">
        <v>20000000</v>
      </c>
      <c r="X183" s="801">
        <v>139623</v>
      </c>
      <c r="Y183" s="777">
        <v>20000000</v>
      </c>
      <c r="Z183" s="788">
        <f t="shared" si="3"/>
        <v>0</v>
      </c>
    </row>
    <row r="184" spans="2:26" ht="23.25" customHeight="1" x14ac:dyDescent="0.2">
      <c r="B184" s="321"/>
      <c r="C184" s="93"/>
      <c r="D184" s="93"/>
      <c r="E184" s="93"/>
      <c r="F184" s="93"/>
      <c r="G184" s="93"/>
      <c r="H184" s="93"/>
      <c r="I184" s="93"/>
      <c r="J184" s="344"/>
      <c r="K184" s="344" t="s">
        <v>106283</v>
      </c>
      <c r="L184" s="679"/>
      <c r="M184" s="129" t="s">
        <v>190</v>
      </c>
      <c r="N184" s="59">
        <v>44928</v>
      </c>
      <c r="O184" s="59" t="s">
        <v>261</v>
      </c>
      <c r="P184" s="3" t="s">
        <v>364</v>
      </c>
      <c r="Q184" s="60"/>
      <c r="R184" s="717">
        <f>107810112+100000000</f>
        <v>207810112</v>
      </c>
      <c r="S184" s="768"/>
      <c r="T184" s="97"/>
      <c r="U184" s="58" t="s">
        <v>188</v>
      </c>
      <c r="V184" s="58"/>
      <c r="W184" s="777">
        <v>124879241</v>
      </c>
      <c r="X184" s="801"/>
      <c r="Y184" s="777">
        <v>124879241</v>
      </c>
      <c r="Z184" s="788">
        <f t="shared" si="3"/>
        <v>-82930871</v>
      </c>
    </row>
    <row r="185" spans="2:26"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5">
        <f>+R186</f>
        <v>75000000</v>
      </c>
      <c r="S185" s="212"/>
      <c r="T185" s="212"/>
      <c r="U185" s="49"/>
      <c r="V185" s="49"/>
      <c r="W185" s="773"/>
      <c r="X185" s="800"/>
      <c r="Y185" s="773"/>
      <c r="Z185" s="787"/>
    </row>
    <row r="186" spans="2:26"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6">
        <f>+R187</f>
        <v>75000000</v>
      </c>
      <c r="S186" s="213"/>
      <c r="T186" s="213"/>
      <c r="U186" s="71"/>
      <c r="V186" s="71"/>
      <c r="W186" s="773"/>
      <c r="X186" s="800"/>
      <c r="Y186" s="773"/>
      <c r="Z186" s="787"/>
    </row>
    <row r="187" spans="2:26"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7">
        <f>35000000+40000000</f>
        <v>75000000</v>
      </c>
      <c r="S187" s="62"/>
      <c r="T187" s="63"/>
      <c r="U187" s="64" t="s">
        <v>163</v>
      </c>
      <c r="V187" s="64"/>
      <c r="W187" s="776"/>
      <c r="X187" s="804"/>
      <c r="Y187" s="776"/>
      <c r="Z187" s="788">
        <f t="shared" si="3"/>
        <v>-75000000</v>
      </c>
    </row>
    <row r="188" spans="2:26"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5">
        <f>+R189</f>
        <v>68000000</v>
      </c>
      <c r="S188" s="212"/>
      <c r="T188" s="212"/>
      <c r="U188" s="49"/>
      <c r="V188" s="49"/>
      <c r="W188" s="773"/>
      <c r="X188" s="800"/>
      <c r="Y188" s="773"/>
      <c r="Z188" s="787"/>
    </row>
    <row r="189" spans="2:26"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7">
        <f>50000000+18000000</f>
        <v>68000000</v>
      </c>
      <c r="S189" s="62"/>
      <c r="T189" s="63"/>
      <c r="U189" s="64" t="s">
        <v>163</v>
      </c>
      <c r="V189" s="64">
        <v>4823</v>
      </c>
      <c r="W189" s="776">
        <v>68000000</v>
      </c>
      <c r="X189" s="804"/>
      <c r="Y189" s="776">
        <v>58013523</v>
      </c>
      <c r="Z189" s="788">
        <f t="shared" si="3"/>
        <v>-9986477</v>
      </c>
    </row>
    <row r="190" spans="2:26" ht="15.75" customHeight="1" x14ac:dyDescent="0.2">
      <c r="B190" s="103" t="s">
        <v>7</v>
      </c>
      <c r="C190" s="103" t="s">
        <v>27</v>
      </c>
      <c r="D190" s="103"/>
      <c r="E190" s="103"/>
      <c r="F190" s="103"/>
      <c r="G190" s="103"/>
      <c r="H190" s="103"/>
      <c r="I190" s="103"/>
      <c r="J190" s="103"/>
      <c r="K190" s="332"/>
      <c r="L190" s="332"/>
      <c r="M190" s="237" t="s">
        <v>105</v>
      </c>
      <c r="N190" s="745"/>
      <c r="O190" s="745"/>
      <c r="P190" s="746"/>
      <c r="Q190" s="746"/>
      <c r="R190" s="720">
        <f>+R191</f>
        <v>9983000000</v>
      </c>
      <c r="S190" s="285">
        <v>9983000000</v>
      </c>
      <c r="T190" s="285">
        <f>+R190-S190</f>
        <v>0</v>
      </c>
      <c r="U190" s="107"/>
      <c r="V190" s="107"/>
      <c r="W190" s="774"/>
      <c r="X190" s="805"/>
      <c r="Y190" s="774"/>
      <c r="Z190" s="787"/>
    </row>
    <row r="191" spans="2:26" ht="15.75" customHeight="1" x14ac:dyDescent="0.2">
      <c r="B191" s="312" t="s">
        <v>7</v>
      </c>
      <c r="C191" s="312" t="s">
        <v>27</v>
      </c>
      <c r="D191" s="312" t="s">
        <v>8</v>
      </c>
      <c r="E191" s="312"/>
      <c r="F191" s="312"/>
      <c r="G191" s="312"/>
      <c r="H191" s="312"/>
      <c r="I191" s="312"/>
      <c r="J191" s="312"/>
      <c r="K191" s="842"/>
      <c r="L191" s="333"/>
      <c r="M191" s="238" t="s">
        <v>105</v>
      </c>
      <c r="N191" s="747"/>
      <c r="O191" s="747"/>
      <c r="P191" s="748"/>
      <c r="Q191" s="748"/>
      <c r="R191" s="721">
        <f>+R192+R218</f>
        <v>9983000000</v>
      </c>
      <c r="S191" s="216"/>
      <c r="T191" s="216"/>
      <c r="U191" s="113"/>
      <c r="V191" s="113"/>
      <c r="W191" s="772"/>
      <c r="X191" s="802"/>
      <c r="Y191" s="772"/>
      <c r="Z191" s="787"/>
    </row>
    <row r="192" spans="2:26"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2">
        <f>+R193+R213</f>
        <v>956764801</v>
      </c>
      <c r="S192" s="217"/>
      <c r="T192" s="217"/>
      <c r="U192" s="119"/>
      <c r="V192" s="119"/>
      <c r="W192" s="775"/>
      <c r="X192" s="806"/>
      <c r="Y192" s="775"/>
      <c r="Z192" s="787"/>
    </row>
    <row r="193" spans="2:26" ht="30" customHeight="1" x14ac:dyDescent="0.2">
      <c r="B193" s="199" t="s">
        <v>7</v>
      </c>
      <c r="C193" s="199" t="s">
        <v>27</v>
      </c>
      <c r="D193" s="199" t="s">
        <v>8</v>
      </c>
      <c r="E193" s="199" t="s">
        <v>8</v>
      </c>
      <c r="F193" s="199" t="s">
        <v>11</v>
      </c>
      <c r="G193" s="199"/>
      <c r="H193" s="199"/>
      <c r="I193" s="199"/>
      <c r="J193" s="199"/>
      <c r="K193" s="840"/>
      <c r="L193" s="329"/>
      <c r="M193" s="233" t="s">
        <v>54</v>
      </c>
      <c r="N193" s="41"/>
      <c r="O193" s="41"/>
      <c r="P193" s="42"/>
      <c r="Q193" s="42"/>
      <c r="R193" s="714">
        <f>+R194+R197+R200+R204+R210</f>
        <v>849501515</v>
      </c>
      <c r="S193" s="211"/>
      <c r="T193" s="211"/>
      <c r="U193" s="43"/>
      <c r="V193" s="43"/>
      <c r="W193" s="773"/>
      <c r="X193" s="800"/>
      <c r="Y193" s="773"/>
      <c r="Z193" s="787"/>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3">
        <f>+R195</f>
        <v>25000000</v>
      </c>
      <c r="S194" s="218"/>
      <c r="T194" s="218"/>
      <c r="U194" s="125"/>
      <c r="V194" s="125"/>
      <c r="W194" s="773"/>
      <c r="X194" s="800"/>
      <c r="Y194" s="773"/>
      <c r="Z194" s="787"/>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6">
        <f>+R196</f>
        <v>25000000</v>
      </c>
      <c r="S195" s="213"/>
      <c r="T195" s="213"/>
      <c r="U195" s="71"/>
      <c r="V195" s="71"/>
      <c r="W195" s="773"/>
      <c r="X195" s="800"/>
      <c r="Y195" s="773"/>
      <c r="Z195" s="787"/>
    </row>
    <row r="196" spans="2:26" ht="52.5" customHeight="1" x14ac:dyDescent="0.2">
      <c r="B196" s="321"/>
      <c r="C196" s="93"/>
      <c r="D196" s="93"/>
      <c r="E196" s="93"/>
      <c r="F196" s="93"/>
      <c r="G196" s="93"/>
      <c r="H196" s="93"/>
      <c r="I196" s="93"/>
      <c r="J196" s="344"/>
      <c r="K196" s="344" t="str">
        <f>B194&amp;"-"&amp;C194&amp;"-"&amp;D194&amp;"-"&amp;E194&amp;"-"&amp;F194&amp;"-"&amp;G194</f>
        <v>A-05-01-01-003-002</v>
      </c>
      <c r="L196" s="679" t="s">
        <v>287</v>
      </c>
      <c r="M196" s="58" t="s">
        <v>165</v>
      </c>
      <c r="N196" s="59">
        <v>45015</v>
      </c>
      <c r="O196" s="59" t="s">
        <v>315</v>
      </c>
      <c r="P196" s="60" t="s">
        <v>316</v>
      </c>
      <c r="Q196" s="60" t="s">
        <v>219</v>
      </c>
      <c r="R196" s="717">
        <v>25000000</v>
      </c>
      <c r="S196" s="62"/>
      <c r="T196" s="97"/>
      <c r="U196" s="64" t="s">
        <v>167</v>
      </c>
      <c r="V196" s="64">
        <v>25423</v>
      </c>
      <c r="W196" s="776">
        <v>25000000</v>
      </c>
      <c r="X196" s="804">
        <v>111023</v>
      </c>
      <c r="Y196" s="776">
        <v>25000000</v>
      </c>
      <c r="Z196" s="788">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3">
        <f>+R198</f>
        <v>100000000</v>
      </c>
      <c r="S197" s="218"/>
      <c r="T197" s="218"/>
      <c r="U197" s="125"/>
      <c r="V197" s="125"/>
      <c r="W197" s="773"/>
      <c r="X197" s="800"/>
      <c r="Y197" s="773"/>
      <c r="Z197" s="787"/>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6">
        <f>+R199</f>
        <v>100000000</v>
      </c>
      <c r="S198" s="213"/>
      <c r="T198" s="213"/>
      <c r="U198" s="71"/>
      <c r="V198" s="71"/>
      <c r="W198" s="773"/>
      <c r="X198" s="800"/>
      <c r="Y198" s="773"/>
      <c r="Z198" s="787"/>
    </row>
    <row r="199" spans="2:26" ht="60" customHeight="1" x14ac:dyDescent="0.2">
      <c r="B199" s="321"/>
      <c r="C199" s="93"/>
      <c r="D199" s="93"/>
      <c r="E199" s="93"/>
      <c r="F199" s="93"/>
      <c r="G199" s="93"/>
      <c r="H199" s="93"/>
      <c r="I199" s="93"/>
      <c r="J199" s="93"/>
      <c r="K199" s="344" t="str">
        <f>B197&amp;"-"&amp;C197&amp;"-"&amp;D197&amp;"-"&amp;E197&amp;"-"&amp;F197&amp;"-"&amp;G197</f>
        <v>A-05-01-01-003-003</v>
      </c>
      <c r="L199" s="680">
        <v>15101500</v>
      </c>
      <c r="M199" s="129" t="s">
        <v>106159</v>
      </c>
      <c r="N199" s="59">
        <v>44959</v>
      </c>
      <c r="O199" s="59" t="s">
        <v>256</v>
      </c>
      <c r="P199" s="60" t="s">
        <v>106034</v>
      </c>
      <c r="Q199" s="60" t="s">
        <v>425</v>
      </c>
      <c r="R199" s="717">
        <v>100000000</v>
      </c>
      <c r="S199" s="62"/>
      <c r="T199" s="97"/>
      <c r="U199" s="64" t="s">
        <v>166</v>
      </c>
      <c r="V199" s="64">
        <v>19223</v>
      </c>
      <c r="W199" s="776">
        <v>100000000</v>
      </c>
      <c r="X199" s="801" t="s">
        <v>106254</v>
      </c>
      <c r="Y199" s="776">
        <v>100000000</v>
      </c>
      <c r="Z199" s="788">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3">
        <f>+R201</f>
        <v>85000000</v>
      </c>
      <c r="S200" s="218"/>
      <c r="T200" s="218"/>
      <c r="U200" s="125"/>
      <c r="V200" s="125"/>
      <c r="W200" s="773"/>
      <c r="X200" s="800"/>
      <c r="Y200" s="773"/>
      <c r="Z200" s="787"/>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6">
        <f>SUM(R202+R203)</f>
        <v>85000000</v>
      </c>
      <c r="S201" s="213"/>
      <c r="T201" s="213"/>
      <c r="U201" s="71"/>
      <c r="V201" s="71"/>
      <c r="W201" s="773"/>
      <c r="X201" s="800"/>
      <c r="Y201" s="773"/>
      <c r="Z201" s="787"/>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9">
        <v>44103100</v>
      </c>
      <c r="M202" s="129" t="s">
        <v>106095</v>
      </c>
      <c r="N202" s="59">
        <v>44958</v>
      </c>
      <c r="O202" s="59" t="s">
        <v>259</v>
      </c>
      <c r="P202" s="60" t="s">
        <v>338</v>
      </c>
      <c r="Q202" s="60" t="s">
        <v>426</v>
      </c>
      <c r="R202" s="717">
        <v>25000000</v>
      </c>
      <c r="S202" s="62"/>
      <c r="T202" s="63"/>
      <c r="U202" s="64" t="s">
        <v>167</v>
      </c>
      <c r="V202" s="64">
        <v>24723</v>
      </c>
      <c r="W202" s="776">
        <v>25000000</v>
      </c>
      <c r="X202" s="804"/>
      <c r="Y202" s="776">
        <v>24896958.93</v>
      </c>
      <c r="Z202" s="788">
        <f t="shared" si="3"/>
        <v>-103041.0700000003</v>
      </c>
    </row>
    <row r="203" spans="2:26" ht="30" customHeight="1" x14ac:dyDescent="0.2">
      <c r="B203" s="322"/>
      <c r="C203" s="678"/>
      <c r="D203" s="678"/>
      <c r="E203" s="678"/>
      <c r="F203" s="678"/>
      <c r="G203" s="678"/>
      <c r="H203" s="678"/>
      <c r="I203" s="678"/>
      <c r="J203" s="307"/>
      <c r="K203" s="344" t="str">
        <f>B201&amp;"-"&amp;C201&amp;"-"&amp;D201&amp;"-"&amp;E201&amp;"-"&amp;F201&amp;"-"&amp;G201</f>
        <v>A-05-01-01-003-005</v>
      </c>
      <c r="L203" s="679" t="s">
        <v>327</v>
      </c>
      <c r="M203" s="129" t="s">
        <v>413</v>
      </c>
      <c r="N203" s="59">
        <v>45061</v>
      </c>
      <c r="O203" s="59" t="s">
        <v>438</v>
      </c>
      <c r="P203" s="60" t="s">
        <v>371</v>
      </c>
      <c r="Q203" s="60" t="s">
        <v>426</v>
      </c>
      <c r="R203" s="717">
        <v>60000000</v>
      </c>
      <c r="S203" s="62"/>
      <c r="T203" s="63"/>
      <c r="U203" s="64" t="s">
        <v>401</v>
      </c>
      <c r="V203" s="64">
        <v>45723</v>
      </c>
      <c r="W203" s="776">
        <v>60000000</v>
      </c>
      <c r="X203" s="804"/>
      <c r="Y203" s="776">
        <v>41018751.600000001</v>
      </c>
      <c r="Z203" s="788">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3">
        <f>+R205+R208</f>
        <v>439501515</v>
      </c>
      <c r="S204" s="218"/>
      <c r="T204" s="218"/>
      <c r="U204" s="125"/>
      <c r="V204" s="125"/>
      <c r="W204" s="773"/>
      <c r="X204" s="800"/>
      <c r="Y204" s="773"/>
      <c r="Z204" s="787"/>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6">
        <f>SUM(R206+R207)</f>
        <v>129501515</v>
      </c>
      <c r="S205" s="213"/>
      <c r="T205" s="213"/>
      <c r="U205" s="71"/>
      <c r="V205" s="71"/>
      <c r="W205" s="773"/>
      <c r="X205" s="800"/>
      <c r="Y205" s="773"/>
      <c r="Z205" s="787"/>
    </row>
    <row r="206" spans="2:26" ht="38.25" customHeight="1" x14ac:dyDescent="0.2">
      <c r="B206" s="321"/>
      <c r="C206" s="93"/>
      <c r="D206" s="93"/>
      <c r="E206" s="93"/>
      <c r="F206" s="93"/>
      <c r="G206" s="93"/>
      <c r="H206" s="93"/>
      <c r="I206" s="93"/>
      <c r="J206" s="344"/>
      <c r="K206" s="344" t="str">
        <f>B204&amp;"-"&amp;C204&amp;"-"&amp;D204&amp;"-"&amp;E204&amp;"-"&amp;F204&amp;"-"&amp;G204</f>
        <v>A-05-01-01-003-006</v>
      </c>
      <c r="L206" s="679" t="s">
        <v>330</v>
      </c>
      <c r="M206" s="129" t="s">
        <v>331</v>
      </c>
      <c r="N206" s="59">
        <v>45108</v>
      </c>
      <c r="O206" s="59" t="s">
        <v>367</v>
      </c>
      <c r="P206" s="60" t="s">
        <v>326</v>
      </c>
      <c r="Q206" s="60" t="s">
        <v>333</v>
      </c>
      <c r="R206" s="717">
        <f>120000000-36235199</f>
        <v>83764801</v>
      </c>
      <c r="S206" s="62"/>
      <c r="T206" s="63"/>
      <c r="U206" s="64" t="s">
        <v>401</v>
      </c>
      <c r="V206" s="64">
        <v>58323</v>
      </c>
      <c r="W206" s="776">
        <v>83764801</v>
      </c>
      <c r="X206" s="804"/>
      <c r="Y206" s="776">
        <v>66280000</v>
      </c>
      <c r="Z206" s="788">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8" t="s">
        <v>106198</v>
      </c>
      <c r="M207" s="129" t="s">
        <v>335</v>
      </c>
      <c r="N207" s="59">
        <v>45031</v>
      </c>
      <c r="O207" s="59" t="s">
        <v>315</v>
      </c>
      <c r="P207" s="60" t="s">
        <v>316</v>
      </c>
      <c r="Q207" s="60" t="s">
        <v>219</v>
      </c>
      <c r="R207" s="717">
        <f>100000000-40000000-14263286</f>
        <v>45736714</v>
      </c>
      <c r="S207" s="62"/>
      <c r="T207" s="63"/>
      <c r="U207" s="64" t="s">
        <v>401</v>
      </c>
      <c r="V207" s="64">
        <v>37623</v>
      </c>
      <c r="W207" s="776">
        <v>45366013</v>
      </c>
      <c r="X207" s="804"/>
      <c r="Y207" s="776">
        <v>32993464</v>
      </c>
      <c r="Z207" s="788">
        <f t="shared" si="3"/>
        <v>-12743250</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6">
        <f>+R209</f>
        <v>310000000</v>
      </c>
      <c r="S208" s="213"/>
      <c r="T208" s="213"/>
      <c r="U208" s="71"/>
      <c r="V208" s="71"/>
      <c r="W208" s="773"/>
      <c r="X208" s="800"/>
      <c r="Y208" s="773"/>
      <c r="Z208" s="787"/>
    </row>
    <row r="209" spans="2:26" ht="30" x14ac:dyDescent="0.2">
      <c r="B209" s="322"/>
      <c r="C209" s="301"/>
      <c r="D209" s="301"/>
      <c r="E209" s="301"/>
      <c r="F209" s="301"/>
      <c r="G209" s="301"/>
      <c r="H209" s="301"/>
      <c r="I209" s="301"/>
      <c r="J209" s="307"/>
      <c r="K209" s="344" t="str">
        <f>B208&amp;"-"&amp;C208&amp;"-"&amp;D208&amp;"-"&amp;E208&amp;"-"&amp;F208&amp;"-"&amp;G208</f>
        <v>A-05-01-01-003-006</v>
      </c>
      <c r="L209" s="682">
        <v>47121700</v>
      </c>
      <c r="M209" s="575" t="s">
        <v>385</v>
      </c>
      <c r="N209" s="2">
        <v>45027</v>
      </c>
      <c r="O209" s="59" t="s">
        <v>438</v>
      </c>
      <c r="P209" s="60" t="s">
        <v>326</v>
      </c>
      <c r="Q209" s="3" t="s">
        <v>333</v>
      </c>
      <c r="R209" s="717">
        <v>310000000</v>
      </c>
      <c r="S209" s="62"/>
      <c r="T209" s="63"/>
      <c r="U209" s="64" t="s">
        <v>401</v>
      </c>
      <c r="V209" s="64">
        <v>45823</v>
      </c>
      <c r="W209" s="776">
        <v>310000000</v>
      </c>
      <c r="X209" s="804"/>
      <c r="Y209" s="776">
        <v>266500140</v>
      </c>
      <c r="Z209" s="788">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3">
        <f>+R211</f>
        <v>200000000</v>
      </c>
      <c r="S210" s="218"/>
      <c r="T210" s="218"/>
      <c r="U210" s="125"/>
      <c r="V210" s="125"/>
      <c r="W210" s="773"/>
      <c r="X210" s="800"/>
      <c r="Y210" s="773"/>
      <c r="Z210" s="787"/>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6">
        <f>+R212</f>
        <v>200000000</v>
      </c>
      <c r="S211" s="213"/>
      <c r="T211" s="213"/>
      <c r="U211" s="71"/>
      <c r="V211" s="71"/>
      <c r="W211" s="773"/>
      <c r="X211" s="800"/>
      <c r="Y211" s="773"/>
      <c r="Z211" s="787"/>
    </row>
    <row r="212" spans="2:26" ht="45" customHeight="1" x14ac:dyDescent="0.2">
      <c r="B212" s="321"/>
      <c r="C212" s="93"/>
      <c r="D212" s="93"/>
      <c r="E212" s="93"/>
      <c r="F212" s="93"/>
      <c r="G212" s="93"/>
      <c r="H212" s="93"/>
      <c r="I212" s="93"/>
      <c r="J212" s="344"/>
      <c r="K212" s="344" t="str">
        <f>B211&amp;"-"&amp;C211&amp;"-"&amp;D211&amp;"-"&amp;E211&amp;"-"&amp;F211&amp;"-"&amp;G211</f>
        <v>A-05-01-01-003-007</v>
      </c>
      <c r="L212" s="679">
        <v>30171600</v>
      </c>
      <c r="M212" s="129" t="s">
        <v>293</v>
      </c>
      <c r="N212" s="59">
        <v>44941</v>
      </c>
      <c r="O212" s="59" t="s">
        <v>259</v>
      </c>
      <c r="P212" s="60" t="s">
        <v>319</v>
      </c>
      <c r="Q212" s="60" t="s">
        <v>425</v>
      </c>
      <c r="R212" s="717">
        <v>200000000</v>
      </c>
      <c r="S212" s="62"/>
      <c r="T212" s="63"/>
      <c r="U212" s="64" t="s">
        <v>166</v>
      </c>
      <c r="V212" s="64">
        <v>18823</v>
      </c>
      <c r="W212" s="776">
        <v>200000000</v>
      </c>
      <c r="X212" s="804"/>
      <c r="Y212" s="776">
        <v>200000000</v>
      </c>
      <c r="Z212" s="788">
        <f t="shared" si="3"/>
        <v>0</v>
      </c>
    </row>
    <row r="213" spans="2:26" ht="15" customHeight="1" x14ac:dyDescent="0.2">
      <c r="B213" s="199" t="s">
        <v>7</v>
      </c>
      <c r="C213" s="199" t="s">
        <v>27</v>
      </c>
      <c r="D213" s="199" t="s">
        <v>8</v>
      </c>
      <c r="E213" s="199" t="s">
        <v>8</v>
      </c>
      <c r="F213" s="782" t="s">
        <v>12</v>
      </c>
      <c r="G213" s="199"/>
      <c r="H213" s="199"/>
      <c r="I213" s="199"/>
      <c r="J213" s="199"/>
      <c r="K213" s="840"/>
      <c r="L213" s="329"/>
      <c r="M213" s="233" t="s">
        <v>106199</v>
      </c>
      <c r="N213" s="41"/>
      <c r="O213" s="41"/>
      <c r="P213" s="42"/>
      <c r="Q213" s="42"/>
      <c r="R213" s="714">
        <f>+R214+R216</f>
        <v>107263286</v>
      </c>
      <c r="S213" s="211"/>
      <c r="T213" s="211"/>
      <c r="U213" s="43"/>
      <c r="V213" s="43"/>
      <c r="W213" s="773"/>
      <c r="X213" s="800"/>
      <c r="Y213" s="773"/>
      <c r="Z213" s="787"/>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3">
        <f>+R215</f>
        <v>54263286</v>
      </c>
      <c r="S214" s="218"/>
      <c r="T214" s="218"/>
      <c r="U214" s="125"/>
      <c r="V214" s="125"/>
      <c r="W214" s="773"/>
      <c r="X214" s="800"/>
      <c r="Y214" s="773"/>
      <c r="Z214" s="787"/>
    </row>
    <row r="215" spans="2:26" ht="39" customHeight="1" x14ac:dyDescent="0.2">
      <c r="B215" s="321"/>
      <c r="C215" s="93"/>
      <c r="D215" s="93"/>
      <c r="E215" s="93"/>
      <c r="F215" s="93"/>
      <c r="G215" s="93"/>
      <c r="H215" s="93"/>
      <c r="I215" s="93"/>
      <c r="J215" s="344"/>
      <c r="K215" s="344" t="str">
        <f>B214&amp;"-"&amp;C214&amp;"-"&amp;D214&amp;"-"&amp;E214&amp;"-"&amp;F214&amp;"-"&amp;G214</f>
        <v>A-05-01-01-004-002</v>
      </c>
      <c r="L215" s="688" t="s">
        <v>106198</v>
      </c>
      <c r="M215" s="129" t="s">
        <v>335</v>
      </c>
      <c r="N215" s="59">
        <v>45031</v>
      </c>
      <c r="O215" s="59" t="s">
        <v>315</v>
      </c>
      <c r="P215" s="60" t="s">
        <v>316</v>
      </c>
      <c r="Q215" s="60" t="s">
        <v>219</v>
      </c>
      <c r="R215" s="717">
        <f>40000000+14263286</f>
        <v>54263286</v>
      </c>
      <c r="S215" s="62"/>
      <c r="T215" s="63"/>
      <c r="U215" s="64" t="s">
        <v>166</v>
      </c>
      <c r="V215" s="64">
        <v>37623</v>
      </c>
      <c r="W215" s="776">
        <v>54263286</v>
      </c>
      <c r="X215" s="804"/>
      <c r="Y215" s="776">
        <v>39464208</v>
      </c>
      <c r="Z215" s="788">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3">
        <f>+R217</f>
        <v>53000000</v>
      </c>
      <c r="S216" s="218"/>
      <c r="T216" s="218"/>
      <c r="U216" s="125"/>
      <c r="V216" s="125"/>
      <c r="W216" s="773"/>
      <c r="X216" s="800"/>
      <c r="Y216" s="773"/>
      <c r="Z216" s="787"/>
    </row>
    <row r="217" spans="2:26" ht="45" customHeight="1" x14ac:dyDescent="0.2">
      <c r="B217" s="321"/>
      <c r="C217" s="93"/>
      <c r="D217" s="93"/>
      <c r="E217" s="93"/>
      <c r="F217" s="93"/>
      <c r="G217" s="93"/>
      <c r="H217" s="93"/>
      <c r="I217" s="93"/>
      <c r="J217" s="344"/>
      <c r="K217" s="344" t="str">
        <f>B216&amp;"-"&amp;C216&amp;"-"&amp;D216&amp;"-"&amp;E216&amp;"-"&amp;F216&amp;"-"&amp;G216</f>
        <v>A-05-01-01-004-006</v>
      </c>
      <c r="L217" s="688">
        <v>46171619</v>
      </c>
      <c r="M217" s="129" t="s">
        <v>106208</v>
      </c>
      <c r="N217" s="59">
        <v>45076</v>
      </c>
      <c r="O217" s="59" t="s">
        <v>325</v>
      </c>
      <c r="P217" s="60" t="s">
        <v>371</v>
      </c>
      <c r="Q217" s="60" t="s">
        <v>106057</v>
      </c>
      <c r="R217" s="717">
        <v>53000000</v>
      </c>
      <c r="S217" s="62"/>
      <c r="T217" s="63"/>
      <c r="U217" s="64" t="s">
        <v>166</v>
      </c>
      <c r="V217" s="64">
        <v>78023</v>
      </c>
      <c r="W217" s="776">
        <v>53000000</v>
      </c>
      <c r="X217" s="804"/>
      <c r="Y217" s="776"/>
      <c r="Z217" s="788">
        <f t="shared" si="4"/>
        <v>-53000000</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2">
        <f>SUM(R219+R242+R246+R255)</f>
        <v>9026235199</v>
      </c>
      <c r="S218" s="217"/>
      <c r="T218" s="217"/>
      <c r="U218" s="119"/>
      <c r="V218" s="119"/>
      <c r="W218" s="775"/>
      <c r="X218" s="806"/>
      <c r="Y218" s="775"/>
      <c r="Z218" s="787"/>
    </row>
    <row r="219" spans="2:26" ht="15" customHeight="1" x14ac:dyDescent="0.2">
      <c r="B219" s="199" t="s">
        <v>7</v>
      </c>
      <c r="C219" s="199" t="s">
        <v>27</v>
      </c>
      <c r="D219" s="199" t="s">
        <v>8</v>
      </c>
      <c r="E219" s="199" t="s">
        <v>20</v>
      </c>
      <c r="F219" s="199" t="s">
        <v>13</v>
      </c>
      <c r="G219" s="199"/>
      <c r="H219" s="199"/>
      <c r="I219" s="199"/>
      <c r="J219" s="199"/>
      <c r="K219" s="840"/>
      <c r="L219" s="329">
        <v>75153000</v>
      </c>
      <c r="M219" s="233" t="s">
        <v>70</v>
      </c>
      <c r="N219" s="41"/>
      <c r="O219" s="41"/>
      <c r="P219" s="42"/>
      <c r="Q219" s="42"/>
      <c r="R219" s="714">
        <f>+R220</f>
        <v>6357745320</v>
      </c>
      <c r="S219" s="211"/>
      <c r="T219" s="211"/>
      <c r="U219" s="43"/>
      <c r="V219" s="43"/>
      <c r="W219" s="773"/>
      <c r="X219" s="800"/>
      <c r="Y219" s="773"/>
      <c r="Z219" s="787"/>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3">
        <f>+R221+R234+R237</f>
        <v>6357745320</v>
      </c>
      <c r="S220" s="218"/>
      <c r="T220" s="218"/>
      <c r="U220" s="125"/>
      <c r="V220" s="125"/>
      <c r="W220" s="773"/>
      <c r="X220" s="800"/>
      <c r="Y220" s="773"/>
      <c r="Z220" s="787"/>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6">
        <f>SUM(R222:R233)</f>
        <v>4823043320</v>
      </c>
      <c r="S221" s="213"/>
      <c r="T221" s="213"/>
      <c r="U221" s="71"/>
      <c r="V221" s="71"/>
      <c r="W221" s="773"/>
      <c r="X221" s="800"/>
      <c r="Y221" s="773"/>
      <c r="Z221" s="787"/>
    </row>
    <row r="222" spans="2:26" ht="60" customHeight="1" x14ac:dyDescent="0.2">
      <c r="B222" s="321"/>
      <c r="C222" s="93"/>
      <c r="D222" s="93"/>
      <c r="E222" s="93"/>
      <c r="F222" s="93"/>
      <c r="G222" s="93"/>
      <c r="H222" s="93"/>
      <c r="I222" s="93"/>
      <c r="J222" s="344"/>
      <c r="K222" s="344" t="str">
        <f>B221&amp;"-"&amp;C221&amp;"-"&amp;D221&amp;"-"&amp;E221&amp;"-"&amp;F221&amp;"-"&amp;G221</f>
        <v>A-05-01-02-005-004</v>
      </c>
      <c r="L222" s="679"/>
      <c r="M222" s="58" t="s">
        <v>518</v>
      </c>
      <c r="N222" s="59"/>
      <c r="O222" s="59" t="s">
        <v>325</v>
      </c>
      <c r="P222" s="60" t="s">
        <v>305</v>
      </c>
      <c r="Q222" s="60" t="s">
        <v>106134</v>
      </c>
      <c r="R222" s="717">
        <v>26233127</v>
      </c>
      <c r="S222" s="62"/>
      <c r="T222" s="97"/>
      <c r="U222" s="64" t="s">
        <v>166</v>
      </c>
      <c r="V222" s="64">
        <v>6623</v>
      </c>
      <c r="W222" s="776">
        <v>26233127</v>
      </c>
      <c r="X222" s="804"/>
      <c r="Y222" s="776">
        <v>26233127</v>
      </c>
      <c r="Z222" s="788">
        <f t="shared" ref="Z222:Z280" si="5">+Y222-R222</f>
        <v>0</v>
      </c>
    </row>
    <row r="223" spans="2:26" ht="45" customHeight="1" x14ac:dyDescent="0.2">
      <c r="B223" s="321"/>
      <c r="C223" s="93"/>
      <c r="D223" s="93"/>
      <c r="E223" s="93"/>
      <c r="F223" s="93"/>
      <c r="G223" s="93"/>
      <c r="H223" s="93"/>
      <c r="I223" s="93"/>
      <c r="J223" s="344"/>
      <c r="K223" s="344" t="s">
        <v>106284</v>
      </c>
      <c r="L223" s="679"/>
      <c r="M223" s="58" t="s">
        <v>106188</v>
      </c>
      <c r="N223" s="59"/>
      <c r="O223" s="59"/>
      <c r="P223" s="60"/>
      <c r="Q223" s="60"/>
      <c r="R223" s="717">
        <v>1006491074</v>
      </c>
      <c r="S223" s="62"/>
      <c r="T223" s="97"/>
      <c r="U223" s="64" t="s">
        <v>166</v>
      </c>
      <c r="V223" s="64">
        <v>26323</v>
      </c>
      <c r="W223" s="776">
        <v>1006491074</v>
      </c>
      <c r="X223" s="804"/>
      <c r="Y223" s="776">
        <v>1006491074</v>
      </c>
      <c r="Z223" s="788">
        <f t="shared" si="5"/>
        <v>0</v>
      </c>
    </row>
    <row r="224" spans="2:26" ht="45" customHeight="1" x14ac:dyDescent="0.2">
      <c r="B224" s="321"/>
      <c r="C224" s="93"/>
      <c r="D224" s="93"/>
      <c r="E224" s="93"/>
      <c r="F224" s="93"/>
      <c r="G224" s="93"/>
      <c r="H224" s="93"/>
      <c r="I224" s="93"/>
      <c r="J224" s="344"/>
      <c r="K224" s="344" t="s">
        <v>106284</v>
      </c>
      <c r="L224" s="679"/>
      <c r="M224" s="58" t="s">
        <v>519</v>
      </c>
      <c r="N224" s="59"/>
      <c r="O224" s="59" t="s">
        <v>325</v>
      </c>
      <c r="P224" s="60" t="s">
        <v>305</v>
      </c>
      <c r="Q224" s="60" t="s">
        <v>106134</v>
      </c>
      <c r="R224" s="717">
        <f>2392340193+28240000+2940000+443508926-20000000-102500000</f>
        <v>2744529119</v>
      </c>
      <c r="S224" s="62"/>
      <c r="T224" s="259"/>
      <c r="U224" s="64" t="s">
        <v>166</v>
      </c>
      <c r="V224" s="58">
        <v>7523</v>
      </c>
      <c r="W224" s="776">
        <f>2744529119</f>
        <v>2744529119</v>
      </c>
      <c r="X224" s="804"/>
      <c r="Y224" s="776">
        <f>2392340193</f>
        <v>2392340193</v>
      </c>
      <c r="Z224" s="788">
        <f t="shared" si="5"/>
        <v>-352188926</v>
      </c>
    </row>
    <row r="225" spans="2:26" ht="45" customHeight="1" x14ac:dyDescent="0.2">
      <c r="B225" s="321"/>
      <c r="C225" s="93"/>
      <c r="D225" s="93"/>
      <c r="E225" s="93"/>
      <c r="F225" s="93"/>
      <c r="G225" s="93"/>
      <c r="H225" s="93"/>
      <c r="I225" s="93"/>
      <c r="J225" s="344"/>
      <c r="K225" s="344" t="s">
        <v>106284</v>
      </c>
      <c r="L225" s="679"/>
      <c r="M225" s="58" t="s">
        <v>520</v>
      </c>
      <c r="N225" s="59"/>
      <c r="O225" s="59" t="s">
        <v>325</v>
      </c>
      <c r="P225" s="60" t="s">
        <v>305</v>
      </c>
      <c r="Q225" s="60" t="s">
        <v>425</v>
      </c>
      <c r="R225" s="717">
        <v>210000000</v>
      </c>
      <c r="S225" s="130"/>
      <c r="T225" s="97"/>
      <c r="U225" s="64" t="s">
        <v>166</v>
      </c>
      <c r="V225" s="64">
        <v>12923</v>
      </c>
      <c r="W225" s="776">
        <v>210000000</v>
      </c>
      <c r="X225" s="804"/>
      <c r="Y225" s="776">
        <v>210000000</v>
      </c>
      <c r="Z225" s="788">
        <f t="shared" si="5"/>
        <v>0</v>
      </c>
    </row>
    <row r="226" spans="2:26" ht="45" customHeight="1" x14ac:dyDescent="0.2">
      <c r="B226" s="321"/>
      <c r="C226" s="93"/>
      <c r="D226" s="93"/>
      <c r="E226" s="93"/>
      <c r="F226" s="93"/>
      <c r="G226" s="93"/>
      <c r="H226" s="93"/>
      <c r="I226" s="93"/>
      <c r="J226" s="344"/>
      <c r="K226" s="344" t="s">
        <v>106284</v>
      </c>
      <c r="L226" s="679"/>
      <c r="M226" s="58" t="s">
        <v>521</v>
      </c>
      <c r="N226" s="59"/>
      <c r="O226" s="59" t="s">
        <v>325</v>
      </c>
      <c r="P226" s="60" t="s">
        <v>305</v>
      </c>
      <c r="Q226" s="60" t="s">
        <v>431</v>
      </c>
      <c r="R226" s="717">
        <f>239040000+144000000</f>
        <v>383040000</v>
      </c>
      <c r="S226" s="62"/>
      <c r="T226" s="97"/>
      <c r="U226" s="64" t="s">
        <v>166</v>
      </c>
      <c r="V226" s="64">
        <v>7423</v>
      </c>
      <c r="W226" s="776">
        <v>383040000</v>
      </c>
      <c r="X226" s="804"/>
      <c r="Y226" s="776">
        <v>383040000</v>
      </c>
      <c r="Z226" s="788">
        <f t="shared" si="5"/>
        <v>0</v>
      </c>
    </row>
    <row r="227" spans="2:26" ht="43.5" customHeight="1" x14ac:dyDescent="0.2">
      <c r="B227" s="321"/>
      <c r="C227" s="93"/>
      <c r="D227" s="93"/>
      <c r="E227" s="93"/>
      <c r="F227" s="93"/>
      <c r="G227" s="93"/>
      <c r="H227" s="93"/>
      <c r="I227" s="93"/>
      <c r="J227" s="344"/>
      <c r="K227" s="344" t="s">
        <v>106284</v>
      </c>
      <c r="L227" s="679" t="s">
        <v>218</v>
      </c>
      <c r="M227" s="58" t="s">
        <v>106104</v>
      </c>
      <c r="N227" s="59">
        <v>45061</v>
      </c>
      <c r="O227" s="59" t="s">
        <v>367</v>
      </c>
      <c r="P227" s="3" t="s">
        <v>364</v>
      </c>
      <c r="Q227" s="60" t="s">
        <v>222</v>
      </c>
      <c r="R227" s="717">
        <f>800000000-300000000-28800000-144000000-41220000-283040000-2940000</f>
        <v>0</v>
      </c>
      <c r="S227" s="131"/>
      <c r="T227" s="259"/>
      <c r="U227" s="64" t="s">
        <v>166</v>
      </c>
      <c r="V227" s="64"/>
      <c r="W227" s="776"/>
      <c r="X227" s="804"/>
      <c r="Y227" s="776"/>
      <c r="Z227" s="788">
        <f t="shared" si="5"/>
        <v>0</v>
      </c>
    </row>
    <row r="228" spans="2:26" ht="48.75" customHeight="1" x14ac:dyDescent="0.2">
      <c r="B228" s="321"/>
      <c r="C228" s="93"/>
      <c r="D228" s="93"/>
      <c r="E228" s="93"/>
      <c r="F228" s="93"/>
      <c r="G228" s="93"/>
      <c r="H228" s="93"/>
      <c r="I228" s="93"/>
      <c r="J228" s="344"/>
      <c r="K228" s="344" t="s">
        <v>106284</v>
      </c>
      <c r="L228" s="679" t="s">
        <v>218</v>
      </c>
      <c r="M228" s="58" t="s">
        <v>106105</v>
      </c>
      <c r="N228" s="59">
        <v>45061</v>
      </c>
      <c r="O228" s="59" t="s">
        <v>367</v>
      </c>
      <c r="P228" s="3" t="s">
        <v>364</v>
      </c>
      <c r="Q228" s="60" t="s">
        <v>222</v>
      </c>
      <c r="R228" s="717">
        <f>1545000000-1006491074-95000000-443508926</f>
        <v>0</v>
      </c>
      <c r="S228" s="131"/>
      <c r="T228" s="259"/>
      <c r="U228" s="64" t="s">
        <v>166</v>
      </c>
      <c r="V228" s="64"/>
      <c r="W228" s="776"/>
      <c r="X228" s="804"/>
      <c r="Y228" s="776"/>
      <c r="Z228" s="788">
        <f t="shared" si="5"/>
        <v>0</v>
      </c>
    </row>
    <row r="229" spans="2:26" ht="45" customHeight="1" x14ac:dyDescent="0.2">
      <c r="B229" s="321"/>
      <c r="C229" s="93"/>
      <c r="D229" s="93"/>
      <c r="E229" s="93"/>
      <c r="F229" s="93"/>
      <c r="G229" s="93"/>
      <c r="H229" s="93"/>
      <c r="I229" s="93"/>
      <c r="J229" s="344"/>
      <c r="K229" s="344" t="s">
        <v>106284</v>
      </c>
      <c r="L229" s="679" t="s">
        <v>106106</v>
      </c>
      <c r="M229" s="58" t="s">
        <v>106107</v>
      </c>
      <c r="N229" s="59">
        <v>45031</v>
      </c>
      <c r="O229" s="59" t="s">
        <v>438</v>
      </c>
      <c r="P229" s="3" t="s">
        <v>364</v>
      </c>
      <c r="Q229" s="60" t="s">
        <v>209</v>
      </c>
      <c r="R229" s="717">
        <f>210000000-110000000</f>
        <v>100000000</v>
      </c>
      <c r="S229" s="131" t="s">
        <v>211</v>
      </c>
      <c r="T229" s="259">
        <v>435120000</v>
      </c>
      <c r="U229" s="64" t="s">
        <v>166</v>
      </c>
      <c r="V229" s="64">
        <v>48323</v>
      </c>
      <c r="W229" s="776">
        <v>100000000</v>
      </c>
      <c r="X229" s="804"/>
      <c r="Y229" s="776"/>
      <c r="Z229" s="788">
        <f t="shared" si="5"/>
        <v>-100000000</v>
      </c>
    </row>
    <row r="230" spans="2:26" ht="45" customHeight="1" x14ac:dyDescent="0.2">
      <c r="B230" s="321"/>
      <c r="C230" s="93"/>
      <c r="D230" s="93"/>
      <c r="E230" s="93"/>
      <c r="F230" s="93"/>
      <c r="G230" s="93"/>
      <c r="H230" s="93"/>
      <c r="I230" s="93"/>
      <c r="J230" s="344"/>
      <c r="K230" s="344" t="s">
        <v>106284</v>
      </c>
      <c r="L230" s="679">
        <v>72154100</v>
      </c>
      <c r="M230" s="58" t="s">
        <v>106108</v>
      </c>
      <c r="N230" s="59">
        <v>45031</v>
      </c>
      <c r="O230" s="59" t="s">
        <v>438</v>
      </c>
      <c r="P230" s="3" t="s">
        <v>364</v>
      </c>
      <c r="Q230" s="60" t="s">
        <v>209</v>
      </c>
      <c r="R230" s="717">
        <v>239040000</v>
      </c>
      <c r="S230" s="62" t="s">
        <v>211</v>
      </c>
      <c r="T230" s="61">
        <v>495300000</v>
      </c>
      <c r="U230" s="64" t="s">
        <v>166</v>
      </c>
      <c r="V230" s="64">
        <v>48323</v>
      </c>
      <c r="W230" s="776">
        <v>239040000</v>
      </c>
      <c r="X230" s="804"/>
      <c r="Y230" s="776">
        <v>239040000</v>
      </c>
      <c r="Z230" s="788">
        <f t="shared" si="5"/>
        <v>0</v>
      </c>
    </row>
    <row r="231" spans="2:26" ht="45" customHeight="1" x14ac:dyDescent="0.2">
      <c r="B231" s="321"/>
      <c r="C231" s="93"/>
      <c r="D231" s="93"/>
      <c r="E231" s="93"/>
      <c r="F231" s="93"/>
      <c r="G231" s="93"/>
      <c r="H231" s="93"/>
      <c r="I231" s="93"/>
      <c r="J231" s="344"/>
      <c r="K231" s="344" t="s">
        <v>106284</v>
      </c>
      <c r="L231" s="679" t="s">
        <v>106102</v>
      </c>
      <c r="M231" s="58" t="s">
        <v>289</v>
      </c>
      <c r="N231" s="59">
        <v>45078</v>
      </c>
      <c r="O231" s="59" t="s">
        <v>367</v>
      </c>
      <c r="P231" s="60" t="s">
        <v>442</v>
      </c>
      <c r="Q231" s="59" t="s">
        <v>210</v>
      </c>
      <c r="R231" s="717">
        <v>23210000</v>
      </c>
      <c r="S231" s="62"/>
      <c r="T231" s="132"/>
      <c r="U231" s="64" t="s">
        <v>166</v>
      </c>
      <c r="V231" s="64">
        <v>55523</v>
      </c>
      <c r="W231" s="776">
        <v>23210000</v>
      </c>
      <c r="X231" s="804">
        <v>159223</v>
      </c>
      <c r="Y231" s="776">
        <v>23210000</v>
      </c>
      <c r="Z231" s="788">
        <f t="shared" si="5"/>
        <v>0</v>
      </c>
    </row>
    <row r="232" spans="2:26" ht="45" customHeight="1" x14ac:dyDescent="0.2">
      <c r="B232" s="321"/>
      <c r="C232" s="93"/>
      <c r="D232" s="93"/>
      <c r="E232" s="93"/>
      <c r="F232" s="93"/>
      <c r="G232" s="93"/>
      <c r="H232" s="93"/>
      <c r="I232" s="93"/>
      <c r="J232" s="344"/>
      <c r="K232" s="344" t="s">
        <v>106284</v>
      </c>
      <c r="L232" s="679" t="s">
        <v>106224</v>
      </c>
      <c r="M232" s="58" t="s">
        <v>106223</v>
      </c>
      <c r="N232" s="59">
        <v>45205</v>
      </c>
      <c r="O232" s="59" t="s">
        <v>368</v>
      </c>
      <c r="P232" s="60" t="s">
        <v>106225</v>
      </c>
      <c r="Q232" s="59" t="s">
        <v>106201</v>
      </c>
      <c r="R232" s="717">
        <v>30000000</v>
      </c>
      <c r="S232" s="62"/>
      <c r="T232" s="132"/>
      <c r="U232" s="64" t="s">
        <v>166</v>
      </c>
      <c r="V232" s="64"/>
      <c r="W232" s="776"/>
      <c r="X232" s="804"/>
      <c r="Y232" s="776"/>
      <c r="Z232" s="788">
        <f t="shared" si="5"/>
        <v>-30000000</v>
      </c>
    </row>
    <row r="233" spans="2:26" ht="45" customHeight="1" x14ac:dyDescent="0.2">
      <c r="B233" s="321"/>
      <c r="C233" s="93"/>
      <c r="D233" s="93"/>
      <c r="E233" s="93"/>
      <c r="F233" s="93"/>
      <c r="G233" s="93"/>
      <c r="H233" s="93"/>
      <c r="I233" s="93"/>
      <c r="J233" s="344"/>
      <c r="K233" s="344" t="s">
        <v>106284</v>
      </c>
      <c r="L233" s="679">
        <v>72154100</v>
      </c>
      <c r="M233" s="58" t="s">
        <v>106215</v>
      </c>
      <c r="N233" s="59">
        <v>45108</v>
      </c>
      <c r="O233" s="59" t="s">
        <v>367</v>
      </c>
      <c r="P233" s="60" t="s">
        <v>326</v>
      </c>
      <c r="Q233" s="59" t="s">
        <v>210</v>
      </c>
      <c r="R233" s="717">
        <f>27500000+33000000</f>
        <v>60500000</v>
      </c>
      <c r="S233" s="62"/>
      <c r="T233" s="63"/>
      <c r="U233" s="64" t="s">
        <v>166</v>
      </c>
      <c r="V233" s="64">
        <v>94223</v>
      </c>
      <c r="W233" s="776">
        <v>60500000</v>
      </c>
      <c r="X233" s="804"/>
      <c r="Y233" s="776"/>
      <c r="Z233" s="788">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6">
        <f>SUM(R235:R236)</f>
        <v>126200000</v>
      </c>
      <c r="S234" s="213"/>
      <c r="T234" s="213"/>
      <c r="U234" s="71"/>
      <c r="V234" s="71"/>
      <c r="W234" s="773"/>
      <c r="X234" s="800"/>
      <c r="Y234" s="773"/>
      <c r="Z234" s="787"/>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7">
        <f>28600000+2600000</f>
        <v>31200000</v>
      </c>
      <c r="S235" s="62"/>
      <c r="T235" s="132"/>
      <c r="U235" s="64" t="s">
        <v>166</v>
      </c>
      <c r="V235" s="64">
        <v>723</v>
      </c>
      <c r="W235" s="776">
        <v>28600000</v>
      </c>
      <c r="X235" s="804"/>
      <c r="Y235" s="776">
        <v>28600000</v>
      </c>
      <c r="Z235" s="788">
        <f t="shared" si="5"/>
        <v>-2600000</v>
      </c>
    </row>
    <row r="236" spans="2:26" ht="75" customHeight="1" x14ac:dyDescent="0.2">
      <c r="B236" s="321"/>
      <c r="C236" s="93"/>
      <c r="D236" s="93"/>
      <c r="E236" s="93"/>
      <c r="F236" s="93"/>
      <c r="G236" s="93"/>
      <c r="H236" s="93"/>
      <c r="I236" s="93"/>
      <c r="J236" s="344"/>
      <c r="K236" s="344" t="s">
        <v>106284</v>
      </c>
      <c r="L236" s="679" t="s">
        <v>106129</v>
      </c>
      <c r="M236" s="58" t="s">
        <v>106146</v>
      </c>
      <c r="N236" s="59">
        <v>44998</v>
      </c>
      <c r="O236" s="59" t="s">
        <v>315</v>
      </c>
      <c r="P236" s="60" t="s">
        <v>106034</v>
      </c>
      <c r="Q236" s="60" t="s">
        <v>333</v>
      </c>
      <c r="R236" s="717">
        <v>95000000</v>
      </c>
      <c r="S236" s="62"/>
      <c r="T236" s="132"/>
      <c r="U236" s="64" t="s">
        <v>156</v>
      </c>
      <c r="V236" s="64">
        <v>34723</v>
      </c>
      <c r="W236" s="776">
        <v>95000000</v>
      </c>
      <c r="X236" s="804">
        <v>144023</v>
      </c>
      <c r="Y236" s="776">
        <v>95000000</v>
      </c>
      <c r="Z236" s="788">
        <f t="shared" si="5"/>
        <v>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6">
        <f>SUM(R238:R241)</f>
        <v>1408502000</v>
      </c>
      <c r="S237" s="213"/>
      <c r="T237" s="213"/>
      <c r="U237" s="71"/>
      <c r="V237" s="71"/>
      <c r="W237" s="773"/>
      <c r="X237" s="800"/>
      <c r="Y237" s="773"/>
      <c r="Z237" s="787"/>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7">
        <f>237600000+28800000+70000000+7500000</f>
        <v>343900000</v>
      </c>
      <c r="S238" s="62"/>
      <c r="T238" s="132"/>
      <c r="U238" s="64" t="s">
        <v>166</v>
      </c>
      <c r="V238" s="64">
        <v>823</v>
      </c>
      <c r="W238" s="776">
        <v>343900000</v>
      </c>
      <c r="X238" s="804"/>
      <c r="Y238" s="776">
        <v>273900000</v>
      </c>
      <c r="Z238" s="788">
        <f t="shared" si="5"/>
        <v>-70000000</v>
      </c>
    </row>
    <row r="239" spans="2:26" ht="30" customHeight="1" x14ac:dyDescent="0.2">
      <c r="B239" s="321"/>
      <c r="C239" s="93"/>
      <c r="D239" s="93"/>
      <c r="E239" s="93"/>
      <c r="F239" s="93"/>
      <c r="G239" s="93"/>
      <c r="H239" s="93"/>
      <c r="I239" s="93"/>
      <c r="J239" s="344"/>
      <c r="K239" s="344" t="s">
        <v>106284</v>
      </c>
      <c r="L239" s="328">
        <v>72152300</v>
      </c>
      <c r="M239" s="129" t="s">
        <v>106212</v>
      </c>
      <c r="N239" s="59">
        <v>45106</v>
      </c>
      <c r="O239" s="59" t="s">
        <v>325</v>
      </c>
      <c r="P239" s="60" t="s">
        <v>326</v>
      </c>
      <c r="Q239" s="60" t="s">
        <v>221</v>
      </c>
      <c r="R239" s="717">
        <v>6000000</v>
      </c>
      <c r="S239" s="62"/>
      <c r="T239" s="132"/>
      <c r="U239" s="64" t="s">
        <v>166</v>
      </c>
      <c r="V239" s="64">
        <v>68723</v>
      </c>
      <c r="W239" s="776">
        <v>6000000</v>
      </c>
      <c r="X239" s="804">
        <v>152223</v>
      </c>
      <c r="Y239" s="776">
        <v>6000000</v>
      </c>
      <c r="Z239" s="788">
        <f t="shared" si="5"/>
        <v>0</v>
      </c>
    </row>
    <row r="240" spans="2:26" ht="45" customHeight="1" x14ac:dyDescent="0.2">
      <c r="B240" s="321"/>
      <c r="C240" s="93"/>
      <c r="D240" s="93"/>
      <c r="E240" s="93"/>
      <c r="F240" s="93"/>
      <c r="G240" s="93"/>
      <c r="H240" s="93"/>
      <c r="I240" s="93"/>
      <c r="J240" s="344"/>
      <c r="K240" s="344" t="s">
        <v>106284</v>
      </c>
      <c r="L240" s="328">
        <v>72101500</v>
      </c>
      <c r="M240" s="129" t="s">
        <v>298</v>
      </c>
      <c r="N240" s="59">
        <v>44936</v>
      </c>
      <c r="O240" s="59" t="s">
        <v>261</v>
      </c>
      <c r="P240" s="60" t="s">
        <v>234</v>
      </c>
      <c r="Q240" s="60" t="s">
        <v>221</v>
      </c>
      <c r="R240" s="717">
        <f>82500000+5700000+600000</f>
        <v>88800000</v>
      </c>
      <c r="S240" s="62"/>
      <c r="T240" s="132"/>
      <c r="U240" s="64" t="s">
        <v>166</v>
      </c>
      <c r="V240" s="64">
        <v>923</v>
      </c>
      <c r="W240" s="776">
        <v>82500000</v>
      </c>
      <c r="X240" s="804"/>
      <c r="Y240" s="776">
        <v>82500000</v>
      </c>
      <c r="Z240" s="788">
        <f t="shared" si="5"/>
        <v>-6300000</v>
      </c>
    </row>
    <row r="241" spans="2:27" ht="30" customHeight="1" x14ac:dyDescent="0.2">
      <c r="B241" s="321"/>
      <c r="C241" s="93"/>
      <c r="D241" s="93"/>
      <c r="E241" s="93"/>
      <c r="F241" s="93"/>
      <c r="G241" s="93"/>
      <c r="H241" s="93"/>
      <c r="I241" s="93"/>
      <c r="J241" s="344"/>
      <c r="K241" s="344" t="s">
        <v>106284</v>
      </c>
      <c r="L241" s="679" t="s">
        <v>106210</v>
      </c>
      <c r="M241" s="129" t="s">
        <v>164</v>
      </c>
      <c r="N241" s="59">
        <v>44936</v>
      </c>
      <c r="O241" s="59" t="s">
        <v>261</v>
      </c>
      <c r="P241" s="60" t="s">
        <v>234</v>
      </c>
      <c r="Q241" s="60" t="s">
        <v>221</v>
      </c>
      <c r="R241" s="717">
        <f>1080000000-182998000-6000000+20000000+62000000-600000-2600000</f>
        <v>969802000</v>
      </c>
      <c r="S241" s="62"/>
      <c r="T241" s="132"/>
      <c r="U241" s="64" t="s">
        <v>166</v>
      </c>
      <c r="V241" s="64">
        <v>623</v>
      </c>
      <c r="W241" s="776">
        <v>973002000</v>
      </c>
      <c r="X241" s="804"/>
      <c r="Y241" s="776">
        <v>942600000</v>
      </c>
      <c r="Z241" s="788">
        <f t="shared" si="5"/>
        <v>-27202000</v>
      </c>
      <c r="AA241" s="783"/>
    </row>
    <row r="242" spans="2:27" ht="45" customHeight="1" x14ac:dyDescent="0.2">
      <c r="B242" s="676" t="s">
        <v>7</v>
      </c>
      <c r="C242" s="676" t="s">
        <v>27</v>
      </c>
      <c r="D242" s="676" t="s">
        <v>8</v>
      </c>
      <c r="E242" s="676" t="s">
        <v>20</v>
      </c>
      <c r="F242" s="676" t="s">
        <v>14</v>
      </c>
      <c r="G242" s="676"/>
      <c r="H242" s="676"/>
      <c r="I242" s="676"/>
      <c r="J242" s="676"/>
      <c r="K242" s="843"/>
      <c r="L242" s="329"/>
      <c r="M242" s="233" t="s">
        <v>106109</v>
      </c>
      <c r="N242" s="41"/>
      <c r="O242" s="267"/>
      <c r="P242" s="42"/>
      <c r="Q242" s="42"/>
      <c r="R242" s="714">
        <f>+R243</f>
        <v>23100000</v>
      </c>
      <c r="S242" s="211"/>
      <c r="T242" s="211"/>
      <c r="U242" s="43"/>
      <c r="V242" s="43"/>
      <c r="W242" s="773"/>
      <c r="X242" s="800"/>
      <c r="Y242" s="773"/>
      <c r="Z242" s="787"/>
    </row>
    <row r="243" spans="2:27" ht="15" customHeight="1" x14ac:dyDescent="0.2">
      <c r="B243" s="133" t="s">
        <v>7</v>
      </c>
      <c r="C243" s="133" t="s">
        <v>27</v>
      </c>
      <c r="D243" s="133" t="s">
        <v>8</v>
      </c>
      <c r="E243" s="133" t="s">
        <v>20</v>
      </c>
      <c r="F243" s="133" t="s">
        <v>14</v>
      </c>
      <c r="G243" s="133" t="s">
        <v>15</v>
      </c>
      <c r="H243" s="133"/>
      <c r="I243" s="133"/>
      <c r="J243" s="133"/>
      <c r="K243" s="844"/>
      <c r="L243" s="335"/>
      <c r="M243" s="240" t="s">
        <v>106110</v>
      </c>
      <c r="N243" s="123"/>
      <c r="O243" s="123"/>
      <c r="P243" s="124"/>
      <c r="Q243" s="124"/>
      <c r="R243" s="723">
        <f>+R244</f>
        <v>23100000</v>
      </c>
      <c r="S243" s="218"/>
      <c r="T243" s="218"/>
      <c r="U243" s="125"/>
      <c r="V243" s="125"/>
      <c r="W243" s="773"/>
      <c r="X243" s="800"/>
      <c r="Y243" s="773"/>
      <c r="Z243" s="787"/>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6">
        <f>+R245</f>
        <v>23100000</v>
      </c>
      <c r="S244" s="213"/>
      <c r="T244" s="213"/>
      <c r="U244" s="56"/>
      <c r="V244" s="56"/>
      <c r="W244" s="773"/>
      <c r="X244" s="800"/>
      <c r="Y244" s="773"/>
      <c r="Z244" s="787"/>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7">
        <v>23100000</v>
      </c>
      <c r="S245" s="300"/>
      <c r="T245" s="299"/>
      <c r="U245" s="64" t="s">
        <v>166</v>
      </c>
      <c r="V245" s="64">
        <v>5023</v>
      </c>
      <c r="W245" s="776">
        <v>23100000</v>
      </c>
      <c r="X245" s="804"/>
      <c r="Y245" s="776">
        <v>23100000</v>
      </c>
      <c r="Z245" s="788">
        <f t="shared" si="5"/>
        <v>0</v>
      </c>
    </row>
    <row r="246" spans="2:27" ht="30" customHeight="1" x14ac:dyDescent="0.2">
      <c r="B246" s="199" t="s">
        <v>7</v>
      </c>
      <c r="C246" s="199" t="s">
        <v>27</v>
      </c>
      <c r="D246" s="199" t="s">
        <v>8</v>
      </c>
      <c r="E246" s="199" t="s">
        <v>20</v>
      </c>
      <c r="F246" s="199" t="s">
        <v>15</v>
      </c>
      <c r="G246" s="199"/>
      <c r="H246" s="199"/>
      <c r="I246" s="199"/>
      <c r="J246" s="199"/>
      <c r="K246" s="840"/>
      <c r="L246" s="329"/>
      <c r="M246" s="233" t="s">
        <v>80</v>
      </c>
      <c r="N246" s="41"/>
      <c r="O246" s="267"/>
      <c r="P246" s="42"/>
      <c r="Q246" s="42"/>
      <c r="R246" s="714">
        <f>+R247+R251</f>
        <v>174760000</v>
      </c>
      <c r="S246" s="211"/>
      <c r="T246" s="211"/>
      <c r="U246" s="43"/>
      <c r="V246" s="43"/>
      <c r="W246" s="773"/>
      <c r="X246" s="800"/>
      <c r="Y246" s="773"/>
      <c r="Z246" s="787"/>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3">
        <f>+R248</f>
        <v>65000000</v>
      </c>
      <c r="S247" s="218"/>
      <c r="T247" s="218"/>
      <c r="U247" s="125"/>
      <c r="V247" s="125"/>
      <c r="W247" s="773"/>
      <c r="X247" s="800"/>
      <c r="Y247" s="773"/>
      <c r="Z247" s="787"/>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6">
        <f>+R249</f>
        <v>65000000</v>
      </c>
      <c r="S248" s="213"/>
      <c r="T248" s="213"/>
      <c r="U248" s="56"/>
      <c r="V248" s="56"/>
      <c r="W248" s="773"/>
      <c r="X248" s="800"/>
      <c r="Y248" s="773"/>
      <c r="Z248" s="787"/>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6">
        <f>+R250</f>
        <v>65000000</v>
      </c>
      <c r="S249" s="213"/>
      <c r="T249" s="213"/>
      <c r="U249" s="56"/>
      <c r="V249" s="56"/>
      <c r="W249" s="773"/>
      <c r="X249" s="800"/>
      <c r="Y249" s="773"/>
      <c r="Z249" s="787"/>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7">
        <v>65000000</v>
      </c>
      <c r="S250" s="62"/>
      <c r="T250" s="63"/>
      <c r="U250" s="64" t="s">
        <v>166</v>
      </c>
      <c r="V250" s="64">
        <v>19423</v>
      </c>
      <c r="W250" s="776">
        <v>65000000</v>
      </c>
      <c r="X250" s="804"/>
      <c r="Y250" s="776">
        <v>47675041</v>
      </c>
      <c r="Z250" s="788">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3">
        <f>+R252</f>
        <v>109760000</v>
      </c>
      <c r="S251" s="218"/>
      <c r="T251" s="218"/>
      <c r="U251" s="125"/>
      <c r="V251" s="125"/>
      <c r="W251" s="773"/>
      <c r="X251" s="800"/>
      <c r="Y251" s="773"/>
      <c r="Z251" s="787"/>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6">
        <f>+R253</f>
        <v>109760000</v>
      </c>
      <c r="S252" s="213"/>
      <c r="T252" s="213"/>
      <c r="U252" s="71"/>
      <c r="V252" s="71"/>
      <c r="W252" s="773"/>
      <c r="X252" s="800"/>
      <c r="Y252" s="773"/>
      <c r="Z252" s="787"/>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6">
        <f>+R254</f>
        <v>109760000</v>
      </c>
      <c r="S253" s="213"/>
      <c r="T253" s="213"/>
      <c r="U253" s="71"/>
      <c r="V253" s="71"/>
      <c r="W253" s="773"/>
      <c r="X253" s="800"/>
      <c r="Y253" s="773"/>
      <c r="Z253" s="787"/>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7">
        <f>98000000+11760000</f>
        <v>109760000</v>
      </c>
      <c r="S254" s="62"/>
      <c r="T254" s="63"/>
      <c r="U254" s="64" t="s">
        <v>188</v>
      </c>
      <c r="V254" s="58" t="s">
        <v>106255</v>
      </c>
      <c r="W254" s="776">
        <v>102400000</v>
      </c>
      <c r="X254" s="804"/>
      <c r="Y254" s="776">
        <v>102400000</v>
      </c>
      <c r="Z254" s="788">
        <f t="shared" si="5"/>
        <v>-7360000</v>
      </c>
    </row>
    <row r="255" spans="2:27" ht="30" customHeight="1" x14ac:dyDescent="0.2">
      <c r="B255" s="199" t="s">
        <v>7</v>
      </c>
      <c r="C255" s="199" t="s">
        <v>27</v>
      </c>
      <c r="D255" s="199" t="s">
        <v>8</v>
      </c>
      <c r="E255" s="199" t="s">
        <v>20</v>
      </c>
      <c r="F255" s="199" t="s">
        <v>16</v>
      </c>
      <c r="G255" s="199"/>
      <c r="H255" s="199"/>
      <c r="I255" s="199"/>
      <c r="J255" s="199"/>
      <c r="K255" s="840"/>
      <c r="L255" s="329"/>
      <c r="M255" s="233" t="s">
        <v>85</v>
      </c>
      <c r="N255" s="41"/>
      <c r="O255" s="41"/>
      <c r="P255" s="42"/>
      <c r="Q255" s="42"/>
      <c r="R255" s="714">
        <f>+R256+R265+R277</f>
        <v>2470629879</v>
      </c>
      <c r="S255" s="211"/>
      <c r="T255" s="211"/>
      <c r="U255" s="43"/>
      <c r="V255" s="43"/>
      <c r="W255" s="773"/>
      <c r="X255" s="800"/>
      <c r="Y255" s="773"/>
      <c r="Z255" s="787"/>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3">
        <f>+R257</f>
        <v>242208000</v>
      </c>
      <c r="S256" s="218"/>
      <c r="T256" s="218"/>
      <c r="U256" s="125"/>
      <c r="V256" s="125"/>
      <c r="W256" s="773"/>
      <c r="X256" s="800"/>
      <c r="Y256" s="773"/>
      <c r="Z256" s="787"/>
    </row>
    <row r="257" spans="2:26"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6">
        <f>+R258</f>
        <v>242208000</v>
      </c>
      <c r="S257" s="213"/>
      <c r="T257" s="213"/>
      <c r="U257" s="71"/>
      <c r="V257" s="71"/>
      <c r="W257" s="773"/>
      <c r="X257" s="800"/>
      <c r="Y257" s="773"/>
      <c r="Z257" s="787"/>
    </row>
    <row r="258" spans="2:26"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6">
        <f>SUM(R259:R264)</f>
        <v>242208000</v>
      </c>
      <c r="S258" s="213"/>
      <c r="T258" s="213"/>
      <c r="U258" s="71"/>
      <c r="V258" s="71"/>
      <c r="W258" s="773"/>
      <c r="X258" s="800"/>
      <c r="Y258" s="773"/>
      <c r="Z258" s="787"/>
    </row>
    <row r="259" spans="2:26" ht="30" customHeight="1" x14ac:dyDescent="0.2">
      <c r="B259" s="321"/>
      <c r="C259" s="93"/>
      <c r="D259" s="93"/>
      <c r="E259" s="93"/>
      <c r="F259" s="93"/>
      <c r="G259" s="93"/>
      <c r="H259" s="93"/>
      <c r="I259" s="93"/>
      <c r="J259" s="344"/>
      <c r="K259" s="344" t="str">
        <f>B258&amp;"-"&amp;C258&amp;"-"&amp;D258&amp;"-"&amp;E258&amp;"-"&amp;F258&amp;"-"&amp;G258</f>
        <v>A-05-01-02-008-003</v>
      </c>
      <c r="L259" s="679">
        <v>80161500</v>
      </c>
      <c r="M259" s="129" t="s">
        <v>106113</v>
      </c>
      <c r="N259" s="59">
        <v>44936</v>
      </c>
      <c r="O259" s="59" t="s">
        <v>261</v>
      </c>
      <c r="P259" s="60" t="s">
        <v>234</v>
      </c>
      <c r="Q259" s="60" t="s">
        <v>221</v>
      </c>
      <c r="R259" s="717">
        <v>42108000</v>
      </c>
      <c r="S259" s="62"/>
      <c r="T259" s="63"/>
      <c r="U259" s="64" t="s">
        <v>166</v>
      </c>
      <c r="V259" s="64">
        <v>523</v>
      </c>
      <c r="W259" s="776">
        <v>42108000</v>
      </c>
      <c r="X259" s="804"/>
      <c r="Y259" s="776">
        <v>42108000</v>
      </c>
      <c r="Z259" s="788">
        <f t="shared" si="5"/>
        <v>0</v>
      </c>
    </row>
    <row r="260" spans="2:26" ht="30" customHeight="1" x14ac:dyDescent="0.2">
      <c r="B260" s="322"/>
      <c r="C260" s="301"/>
      <c r="D260" s="301"/>
      <c r="E260" s="301"/>
      <c r="F260" s="301"/>
      <c r="G260" s="301"/>
      <c r="H260" s="301"/>
      <c r="I260" s="301"/>
      <c r="J260" s="307"/>
      <c r="K260" s="307" t="s">
        <v>106285</v>
      </c>
      <c r="L260" s="679" t="s">
        <v>440</v>
      </c>
      <c r="M260" s="58" t="s">
        <v>106056</v>
      </c>
      <c r="N260" s="59">
        <v>45163</v>
      </c>
      <c r="O260" s="59" t="s">
        <v>368</v>
      </c>
      <c r="P260" s="60" t="s">
        <v>371</v>
      </c>
      <c r="Q260" s="3" t="s">
        <v>432</v>
      </c>
      <c r="R260" s="717">
        <v>25000000</v>
      </c>
      <c r="S260" s="62"/>
      <c r="T260" s="63"/>
      <c r="U260" s="64" t="s">
        <v>401</v>
      </c>
      <c r="V260" s="64">
        <v>94123</v>
      </c>
      <c r="W260" s="776">
        <v>25000000</v>
      </c>
      <c r="X260" s="804"/>
      <c r="Y260" s="776"/>
      <c r="Z260" s="788">
        <f t="shared" si="5"/>
        <v>-25000000</v>
      </c>
    </row>
    <row r="261" spans="2:26" ht="75" customHeight="1" x14ac:dyDescent="0.2">
      <c r="B261" s="322"/>
      <c r="C261" s="678"/>
      <c r="D261" s="678"/>
      <c r="E261" s="678"/>
      <c r="F261" s="678"/>
      <c r="G261" s="678"/>
      <c r="H261" s="678"/>
      <c r="I261" s="678"/>
      <c r="J261" s="307"/>
      <c r="K261" s="307" t="s">
        <v>106285</v>
      </c>
      <c r="L261" s="328">
        <v>80101500</v>
      </c>
      <c r="M261" s="129" t="s">
        <v>106137</v>
      </c>
      <c r="N261" s="59">
        <v>44941</v>
      </c>
      <c r="O261" s="59" t="s">
        <v>261</v>
      </c>
      <c r="P261" s="60" t="s">
        <v>234</v>
      </c>
      <c r="Q261" s="60" t="s">
        <v>262</v>
      </c>
      <c r="R261" s="717">
        <v>33200000</v>
      </c>
      <c r="S261" s="62"/>
      <c r="T261" s="63"/>
      <c r="U261" s="64" t="s">
        <v>401</v>
      </c>
      <c r="V261" s="64">
        <v>1423</v>
      </c>
      <c r="W261" s="776">
        <v>33200000</v>
      </c>
      <c r="X261" s="804"/>
      <c r="Y261" s="776">
        <v>30930900</v>
      </c>
      <c r="Z261" s="788">
        <f t="shared" si="5"/>
        <v>-2269100</v>
      </c>
    </row>
    <row r="262" spans="2:26" ht="45" customHeight="1" x14ac:dyDescent="0.2">
      <c r="B262" s="322"/>
      <c r="C262" s="677"/>
      <c r="D262" s="677"/>
      <c r="E262" s="677"/>
      <c r="F262" s="677"/>
      <c r="G262" s="677"/>
      <c r="H262" s="677"/>
      <c r="I262" s="677"/>
      <c r="J262" s="307"/>
      <c r="K262" s="307" t="s">
        <v>106285</v>
      </c>
      <c r="L262" s="328">
        <v>80101500</v>
      </c>
      <c r="M262" s="129" t="s">
        <v>106138</v>
      </c>
      <c r="N262" s="59">
        <v>44941</v>
      </c>
      <c r="O262" s="59" t="s">
        <v>261</v>
      </c>
      <c r="P262" s="60" t="s">
        <v>234</v>
      </c>
      <c r="Q262" s="60" t="s">
        <v>262</v>
      </c>
      <c r="R262" s="717">
        <v>33200000</v>
      </c>
      <c r="S262" s="62"/>
      <c r="T262" s="63"/>
      <c r="U262" s="64" t="s">
        <v>401</v>
      </c>
      <c r="V262" s="64">
        <v>1323</v>
      </c>
      <c r="W262" s="776">
        <v>33200000</v>
      </c>
      <c r="X262" s="804"/>
      <c r="Y262" s="776">
        <v>26512200</v>
      </c>
      <c r="Z262" s="788">
        <f t="shared" si="5"/>
        <v>-6687800</v>
      </c>
    </row>
    <row r="263" spans="2:26" s="707" customFormat="1" ht="30" customHeight="1" x14ac:dyDescent="0.2">
      <c r="B263" s="703"/>
      <c r="C263" s="704"/>
      <c r="D263" s="704"/>
      <c r="E263" s="704"/>
      <c r="F263" s="704"/>
      <c r="G263" s="704"/>
      <c r="H263" s="704"/>
      <c r="I263" s="704"/>
      <c r="J263" s="705"/>
      <c r="K263" s="705" t="s">
        <v>106285</v>
      </c>
      <c r="L263" s="688" t="s">
        <v>106140</v>
      </c>
      <c r="M263" s="129" t="s">
        <v>106141</v>
      </c>
      <c r="N263" s="59">
        <v>44982</v>
      </c>
      <c r="O263" s="59" t="s">
        <v>256</v>
      </c>
      <c r="P263" s="60" t="s">
        <v>319</v>
      </c>
      <c r="Q263" s="60" t="s">
        <v>262</v>
      </c>
      <c r="R263" s="717">
        <f>100000000-20000000</f>
        <v>80000000</v>
      </c>
      <c r="S263" s="706"/>
      <c r="T263" s="152"/>
      <c r="U263" s="153" t="s">
        <v>401</v>
      </c>
      <c r="V263" s="153">
        <v>68023</v>
      </c>
      <c r="W263" s="778">
        <v>80000000</v>
      </c>
      <c r="X263" s="807"/>
      <c r="Y263" s="778"/>
      <c r="Z263" s="788">
        <f t="shared" si="5"/>
        <v>-80000000</v>
      </c>
    </row>
    <row r="264" spans="2:26" ht="60" customHeight="1" x14ac:dyDescent="0.2">
      <c r="B264" s="322"/>
      <c r="C264" s="301"/>
      <c r="D264" s="301"/>
      <c r="E264" s="301"/>
      <c r="F264" s="301"/>
      <c r="G264" s="301"/>
      <c r="H264" s="301"/>
      <c r="I264" s="301"/>
      <c r="J264" s="307"/>
      <c r="K264" s="307" t="s">
        <v>106285</v>
      </c>
      <c r="L264" s="328">
        <v>80101500</v>
      </c>
      <c r="M264" s="58" t="s">
        <v>106139</v>
      </c>
      <c r="N264" s="59">
        <v>44941</v>
      </c>
      <c r="O264" s="59" t="s">
        <v>261</v>
      </c>
      <c r="P264" s="60" t="s">
        <v>234</v>
      </c>
      <c r="Q264" s="60" t="s">
        <v>262</v>
      </c>
      <c r="R264" s="717">
        <f>58700000-30000000</f>
        <v>28700000</v>
      </c>
      <c r="S264" s="62"/>
      <c r="T264" s="63"/>
      <c r="U264" s="64" t="s">
        <v>401</v>
      </c>
      <c r="V264" s="64"/>
      <c r="W264" s="776"/>
      <c r="X264" s="804"/>
      <c r="Y264" s="776"/>
      <c r="Z264" s="788">
        <f t="shared" si="5"/>
        <v>-28700000</v>
      </c>
    </row>
    <row r="265" spans="2:26"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3">
        <f>SUM(R266+R269)</f>
        <v>2064296263</v>
      </c>
      <c r="S265" s="218"/>
      <c r="T265" s="218"/>
      <c r="U265" s="125"/>
      <c r="V265" s="125"/>
      <c r="W265" s="773"/>
      <c r="X265" s="800"/>
      <c r="Y265" s="773"/>
      <c r="Z265" s="787"/>
    </row>
    <row r="266" spans="2:26"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6">
        <f>SUM(R267:R268)</f>
        <v>269728920</v>
      </c>
      <c r="S266" s="213"/>
      <c r="T266" s="213"/>
      <c r="U266" s="71"/>
      <c r="V266" s="71"/>
      <c r="W266" s="773"/>
      <c r="X266" s="800"/>
      <c r="Y266" s="773"/>
      <c r="Z266" s="787"/>
    </row>
    <row r="267" spans="2:26" ht="45" customHeight="1" x14ac:dyDescent="0.2">
      <c r="B267" s="321"/>
      <c r="C267" s="93"/>
      <c r="D267" s="93"/>
      <c r="E267" s="93"/>
      <c r="F267" s="93"/>
      <c r="G267" s="93"/>
      <c r="H267" s="93"/>
      <c r="I267" s="93"/>
      <c r="J267" s="344"/>
      <c r="K267" s="344" t="str">
        <f>B266&amp;"-"&amp;C266&amp;"-"&amp;D266&amp;"-"&amp;E266&amp;"-"&amp;F266&amp;"-"&amp;G266</f>
        <v>A-05-01-02-008-005</v>
      </c>
      <c r="L267" s="681">
        <v>92121500</v>
      </c>
      <c r="M267" s="58" t="s">
        <v>522</v>
      </c>
      <c r="N267" s="59"/>
      <c r="O267" s="59" t="s">
        <v>325</v>
      </c>
      <c r="P267" s="60" t="s">
        <v>305</v>
      </c>
      <c r="Q267" s="3" t="s">
        <v>209</v>
      </c>
      <c r="R267" s="724">
        <f>116254536+18594348+36</f>
        <v>134848920</v>
      </c>
      <c r="S267" s="131"/>
      <c r="T267" s="63"/>
      <c r="U267" s="64" t="s">
        <v>166</v>
      </c>
      <c r="V267" s="64">
        <v>7223</v>
      </c>
      <c r="W267" s="776">
        <v>134848920</v>
      </c>
      <c r="X267" s="804"/>
      <c r="Y267" s="776">
        <f>116254536+18594384</f>
        <v>134848920</v>
      </c>
      <c r="Z267" s="788">
        <f t="shared" si="5"/>
        <v>0</v>
      </c>
    </row>
    <row r="268" spans="2:26" ht="45" customHeight="1" x14ac:dyDescent="0.2">
      <c r="B268" s="322"/>
      <c r="C268" s="301"/>
      <c r="D268" s="301"/>
      <c r="E268" s="301"/>
      <c r="F268" s="301"/>
      <c r="G268" s="301"/>
      <c r="H268" s="301"/>
      <c r="I268" s="301"/>
      <c r="J268" s="307"/>
      <c r="K268" s="307" t="s">
        <v>106286</v>
      </c>
      <c r="L268" s="681">
        <v>92121500</v>
      </c>
      <c r="M268" s="4" t="s">
        <v>106114</v>
      </c>
      <c r="N268" s="59">
        <v>45031</v>
      </c>
      <c r="O268" s="59" t="s">
        <v>438</v>
      </c>
      <c r="P268" s="3" t="s">
        <v>364</v>
      </c>
      <c r="Q268" s="60" t="s">
        <v>106038</v>
      </c>
      <c r="R268" s="724">
        <f>120600000-18594348-36+32874384</f>
        <v>134880000</v>
      </c>
      <c r="S268" s="131" t="s">
        <v>211</v>
      </c>
      <c r="T268" s="256">
        <v>279480000</v>
      </c>
      <c r="U268" s="64" t="s">
        <v>166</v>
      </c>
      <c r="V268" s="64">
        <v>48323</v>
      </c>
      <c r="W268" s="776">
        <v>134880000</v>
      </c>
      <c r="X268" s="804"/>
      <c r="Y268" s="776">
        <v>45967517.100000001</v>
      </c>
      <c r="Z268" s="788">
        <f t="shared" si="5"/>
        <v>-88912482.900000006</v>
      </c>
    </row>
    <row r="269" spans="2:26"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6">
        <f>SUM(R270:R276)</f>
        <v>1794567343</v>
      </c>
      <c r="S269" s="213"/>
      <c r="T269" s="213"/>
      <c r="U269" s="71"/>
      <c r="V269" s="71"/>
      <c r="W269" s="773"/>
      <c r="X269" s="800"/>
      <c r="Y269" s="773"/>
      <c r="Z269" s="787"/>
    </row>
    <row r="270" spans="2:26"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7">
        <f>119027819+18600000-5700000</f>
        <v>131927819</v>
      </c>
      <c r="S270" s="62"/>
      <c r="T270" s="63"/>
      <c r="U270" s="64" t="s">
        <v>166</v>
      </c>
      <c r="V270" s="58" t="s">
        <v>106256</v>
      </c>
      <c r="W270" s="776">
        <v>137279859.97</v>
      </c>
      <c r="X270" s="804"/>
      <c r="Y270" s="776">
        <v>131877070.83</v>
      </c>
      <c r="Z270" s="788">
        <f t="shared" si="5"/>
        <v>-50748.170000001788</v>
      </c>
    </row>
    <row r="271" spans="2:26" ht="45" customHeight="1" x14ac:dyDescent="0.2">
      <c r="B271" s="322"/>
      <c r="C271" s="301"/>
      <c r="D271" s="301"/>
      <c r="E271" s="301"/>
      <c r="F271" s="301"/>
      <c r="G271" s="301"/>
      <c r="H271" s="301"/>
      <c r="I271" s="301"/>
      <c r="J271" s="307"/>
      <c r="K271" s="307" t="s">
        <v>106286</v>
      </c>
      <c r="L271" s="328">
        <v>76111500</v>
      </c>
      <c r="M271" s="58" t="s">
        <v>106115</v>
      </c>
      <c r="N271" s="59">
        <v>45031</v>
      </c>
      <c r="O271" s="59"/>
      <c r="P271" s="3" t="s">
        <v>364</v>
      </c>
      <c r="Q271" s="60" t="s">
        <v>222</v>
      </c>
      <c r="R271" s="717">
        <f>117600000-18600000+41220000</f>
        <v>140220000</v>
      </c>
      <c r="S271" s="62" t="s">
        <v>211</v>
      </c>
      <c r="T271" s="256">
        <v>290640000</v>
      </c>
      <c r="U271" s="64" t="s">
        <v>166</v>
      </c>
      <c r="V271" s="64">
        <v>48323</v>
      </c>
      <c r="W271" s="776">
        <v>140220000</v>
      </c>
      <c r="X271" s="804"/>
      <c r="Y271" s="776">
        <v>137279859.97</v>
      </c>
      <c r="Z271" s="788">
        <f t="shared" si="5"/>
        <v>-2940140.0300000012</v>
      </c>
    </row>
    <row r="272" spans="2:26" ht="45" customHeight="1" x14ac:dyDescent="0.2">
      <c r="B272" s="322"/>
      <c r="C272" s="301"/>
      <c r="D272" s="301"/>
      <c r="E272" s="301"/>
      <c r="F272" s="301"/>
      <c r="G272" s="301"/>
      <c r="H272" s="301"/>
      <c r="I272" s="301"/>
      <c r="J272" s="307"/>
      <c r="K272" s="307" t="s">
        <v>106286</v>
      </c>
      <c r="L272" s="328">
        <v>76111500</v>
      </c>
      <c r="M272" s="58" t="s">
        <v>106183</v>
      </c>
      <c r="N272" s="59">
        <v>45031</v>
      </c>
      <c r="O272" s="59" t="s">
        <v>438</v>
      </c>
      <c r="P272" s="3" t="s">
        <v>364</v>
      </c>
      <c r="Q272" s="60" t="s">
        <v>222</v>
      </c>
      <c r="R272" s="717">
        <f>570379524+95000000</f>
        <v>665379524</v>
      </c>
      <c r="S272" s="62"/>
      <c r="T272" s="256"/>
      <c r="U272" s="64" t="s">
        <v>166</v>
      </c>
      <c r="V272" s="64">
        <v>7123</v>
      </c>
      <c r="W272" s="776">
        <v>659583724.53999996</v>
      </c>
      <c r="X272" s="804"/>
      <c r="Y272" s="776">
        <v>644550124.64999998</v>
      </c>
      <c r="Z272" s="788">
        <f t="shared" si="5"/>
        <v>-20829399.350000024</v>
      </c>
    </row>
    <row r="273" spans="2:27" ht="45" customHeight="1" x14ac:dyDescent="0.2">
      <c r="B273" s="322"/>
      <c r="C273" s="770"/>
      <c r="D273" s="770"/>
      <c r="E273" s="770"/>
      <c r="F273" s="770"/>
      <c r="G273" s="770"/>
      <c r="H273" s="770"/>
      <c r="I273" s="770"/>
      <c r="J273" s="307"/>
      <c r="K273" s="307" t="s">
        <v>106286</v>
      </c>
      <c r="L273" s="328"/>
      <c r="M273" s="58" t="s">
        <v>106189</v>
      </c>
      <c r="N273" s="59"/>
      <c r="O273" s="59" t="s">
        <v>325</v>
      </c>
      <c r="P273" s="60"/>
      <c r="Q273" s="60"/>
      <c r="R273" s="717">
        <f>300000000+64000000+283040000</f>
        <v>647040000</v>
      </c>
      <c r="S273" s="62" t="s">
        <v>211</v>
      </c>
      <c r="T273" s="256">
        <v>1340700000</v>
      </c>
      <c r="U273" s="64" t="s">
        <v>166</v>
      </c>
      <c r="V273" s="64">
        <v>48323</v>
      </c>
      <c r="W273" s="776">
        <v>647040000</v>
      </c>
      <c r="X273" s="804"/>
      <c r="Y273" s="776">
        <v>641239344.02999997</v>
      </c>
      <c r="Z273" s="788">
        <f t="shared" si="5"/>
        <v>-5800655.9700000286</v>
      </c>
    </row>
    <row r="274" spans="2:27" ht="30" customHeight="1" x14ac:dyDescent="0.2">
      <c r="B274" s="322"/>
      <c r="C274" s="674"/>
      <c r="D274" s="674"/>
      <c r="E274" s="674"/>
      <c r="F274" s="674"/>
      <c r="G274" s="674"/>
      <c r="H274" s="674"/>
      <c r="I274" s="674"/>
      <c r="J274" s="307"/>
      <c r="K274" s="307" t="s">
        <v>106286</v>
      </c>
      <c r="L274" s="328">
        <v>76111500</v>
      </c>
      <c r="M274" s="129" t="s">
        <v>106135</v>
      </c>
      <c r="N274" s="59">
        <v>44958</v>
      </c>
      <c r="O274" s="59" t="s">
        <v>259</v>
      </c>
      <c r="P274" s="60" t="s">
        <v>319</v>
      </c>
      <c r="Q274" s="60" t="s">
        <v>222</v>
      </c>
      <c r="R274" s="717">
        <f>(32000000*2)-64000000</f>
        <v>0</v>
      </c>
      <c r="S274" s="62"/>
      <c r="T274" s="63"/>
      <c r="U274" s="64" t="s">
        <v>166</v>
      </c>
      <c r="V274" s="64"/>
      <c r="W274" s="776"/>
      <c r="X274" s="804"/>
      <c r="Y274" s="776"/>
      <c r="Z274" s="788">
        <f>+Y274-R274</f>
        <v>0</v>
      </c>
    </row>
    <row r="275" spans="2:27" ht="30" customHeight="1" x14ac:dyDescent="0.2">
      <c r="B275" s="322"/>
      <c r="C275" s="674"/>
      <c r="D275" s="674"/>
      <c r="E275" s="674"/>
      <c r="F275" s="674"/>
      <c r="G275" s="674"/>
      <c r="H275" s="674"/>
      <c r="I275" s="674"/>
      <c r="J275" s="307"/>
      <c r="K275" s="307" t="s">
        <v>106286</v>
      </c>
      <c r="L275" s="679" t="s">
        <v>106117</v>
      </c>
      <c r="M275" s="129" t="s">
        <v>299</v>
      </c>
      <c r="N275" s="59">
        <v>45047</v>
      </c>
      <c r="O275" s="59" t="s">
        <v>325</v>
      </c>
      <c r="P275" s="60" t="s">
        <v>260</v>
      </c>
      <c r="Q275" s="60" t="s">
        <v>106118</v>
      </c>
      <c r="R275" s="717">
        <v>60000000</v>
      </c>
      <c r="S275" s="62"/>
      <c r="T275" s="63"/>
      <c r="U275" s="64" t="s">
        <v>166</v>
      </c>
      <c r="V275" s="64">
        <v>71423</v>
      </c>
      <c r="W275" s="776">
        <v>60000000</v>
      </c>
      <c r="X275" s="804"/>
      <c r="Y275" s="776">
        <v>60000000</v>
      </c>
      <c r="Z275" s="788">
        <f t="shared" si="5"/>
        <v>0</v>
      </c>
    </row>
    <row r="276" spans="2:27" ht="45" customHeight="1" x14ac:dyDescent="0.2">
      <c r="B276" s="322"/>
      <c r="C276" s="301"/>
      <c r="D276" s="301"/>
      <c r="E276" s="301"/>
      <c r="F276" s="301"/>
      <c r="G276" s="301"/>
      <c r="H276" s="301"/>
      <c r="I276" s="301"/>
      <c r="J276" s="307"/>
      <c r="K276" s="307" t="s">
        <v>106286</v>
      </c>
      <c r="L276" s="328">
        <v>72102100</v>
      </c>
      <c r="M276" s="58" t="s">
        <v>106136</v>
      </c>
      <c r="N276" s="59">
        <v>45047</v>
      </c>
      <c r="O276" s="59" t="s">
        <v>325</v>
      </c>
      <c r="P276" s="60" t="s">
        <v>260</v>
      </c>
      <c r="Q276" s="60" t="s">
        <v>106118</v>
      </c>
      <c r="R276" s="717">
        <v>150000000</v>
      </c>
      <c r="S276" s="62"/>
      <c r="T276" s="61"/>
      <c r="U276" s="64" t="s">
        <v>166</v>
      </c>
      <c r="V276" s="64">
        <v>15423</v>
      </c>
      <c r="W276" s="776">
        <v>150000000</v>
      </c>
      <c r="X276" s="804"/>
      <c r="Y276" s="776">
        <v>150000000</v>
      </c>
      <c r="Z276" s="788">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3">
        <f>+R278</f>
        <v>164125616</v>
      </c>
      <c r="S277" s="218"/>
      <c r="T277" s="218"/>
      <c r="U277" s="125"/>
      <c r="V277" s="125"/>
      <c r="W277" s="773"/>
      <c r="X277" s="800"/>
      <c r="Y277" s="773"/>
      <c r="Z277" s="787"/>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6">
        <f>+R279</f>
        <v>164125616</v>
      </c>
      <c r="S278" s="213"/>
      <c r="T278" s="213"/>
      <c r="U278" s="71"/>
      <c r="V278" s="71"/>
      <c r="W278" s="773"/>
      <c r="X278" s="800"/>
      <c r="Y278" s="773"/>
      <c r="Z278" s="787"/>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6">
        <f>SUM(R280:R281)</f>
        <v>164125616</v>
      </c>
      <c r="S279" s="213"/>
      <c r="T279" s="213"/>
      <c r="U279" s="71"/>
      <c r="V279" s="71"/>
      <c r="W279" s="773"/>
      <c r="X279" s="800"/>
      <c r="Y279" s="773"/>
      <c r="Z279" s="787"/>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7">
        <v>50000000</v>
      </c>
      <c r="S280" s="62"/>
      <c r="T280" s="63"/>
      <c r="U280" s="64" t="s">
        <v>166</v>
      </c>
      <c r="V280" s="64">
        <v>74123</v>
      </c>
      <c r="W280" s="776">
        <v>50000000</v>
      </c>
      <c r="X280" s="804"/>
      <c r="Y280" s="776">
        <v>50000000</v>
      </c>
      <c r="Z280" s="788">
        <f t="shared" si="5"/>
        <v>0</v>
      </c>
    </row>
    <row r="281" spans="2:27" ht="45" customHeight="1" x14ac:dyDescent="0.2">
      <c r="B281" s="322"/>
      <c r="C281" s="301"/>
      <c r="D281" s="301"/>
      <c r="E281" s="301"/>
      <c r="F281" s="301"/>
      <c r="G281" s="301"/>
      <c r="H281" s="301"/>
      <c r="I281" s="301"/>
      <c r="J281" s="702"/>
      <c r="K281" s="795" t="s">
        <v>106287</v>
      </c>
      <c r="L281" s="736" t="s">
        <v>345</v>
      </c>
      <c r="M281" s="575" t="s">
        <v>346</v>
      </c>
      <c r="N281" s="2">
        <v>44984</v>
      </c>
      <c r="O281" s="59" t="s">
        <v>256</v>
      </c>
      <c r="P281" s="60" t="s">
        <v>316</v>
      </c>
      <c r="Q281" s="3" t="s">
        <v>426</v>
      </c>
      <c r="R281" s="717">
        <f>200000000-32874384-53000000</f>
        <v>114125616</v>
      </c>
      <c r="S281" s="62"/>
      <c r="T281" s="63"/>
      <c r="U281" s="64" t="s">
        <v>401</v>
      </c>
      <c r="V281" s="64">
        <v>22423</v>
      </c>
      <c r="W281" s="776">
        <v>91121632.349999994</v>
      </c>
      <c r="X281" s="804"/>
      <c r="Y281" s="776">
        <v>79497834.349999994</v>
      </c>
      <c r="Z281" s="788">
        <f>+Y281-R281</f>
        <v>-34627781.650000006</v>
      </c>
      <c r="AA281" s="783"/>
    </row>
    <row r="282" spans="2:27" ht="15.75" customHeight="1" x14ac:dyDescent="0.2">
      <c r="B282" s="313" t="s">
        <v>7</v>
      </c>
      <c r="C282" s="313" t="s">
        <v>29</v>
      </c>
      <c r="D282" s="313"/>
      <c r="E282" s="313"/>
      <c r="F282" s="313"/>
      <c r="G282" s="313"/>
      <c r="H282" s="313"/>
      <c r="I282" s="313"/>
      <c r="J282" s="313"/>
      <c r="K282" s="845"/>
      <c r="L282" s="336"/>
      <c r="M282" s="242" t="s">
        <v>107</v>
      </c>
      <c r="N282" s="749"/>
      <c r="O282" s="749" t="s">
        <v>106116</v>
      </c>
      <c r="P282" s="750"/>
      <c r="Q282" s="750"/>
      <c r="R282" s="725">
        <f>SUM(R283+R285)</f>
        <v>2891000000</v>
      </c>
      <c r="S282" s="219"/>
      <c r="T282" s="219"/>
      <c r="U282" s="144"/>
      <c r="V282" s="144"/>
      <c r="W282" s="772"/>
      <c r="X282" s="802"/>
      <c r="Y282" s="772"/>
      <c r="Z282" s="787"/>
      <c r="AA282" s="783"/>
    </row>
    <row r="283" spans="2:27" ht="15.75" customHeight="1" x14ac:dyDescent="0.2">
      <c r="B283" s="146" t="s">
        <v>7</v>
      </c>
      <c r="C283" s="146" t="s">
        <v>29</v>
      </c>
      <c r="D283" s="146" t="s">
        <v>8</v>
      </c>
      <c r="E283" s="146"/>
      <c r="F283" s="146"/>
      <c r="G283" s="146"/>
      <c r="H283" s="146"/>
      <c r="I283" s="146"/>
      <c r="J283" s="146"/>
      <c r="K283" s="337"/>
      <c r="L283" s="337"/>
      <c r="M283" s="243" t="s">
        <v>108</v>
      </c>
      <c r="N283" s="751"/>
      <c r="O283" s="751" t="s">
        <v>106116</v>
      </c>
      <c r="P283" s="752"/>
      <c r="Q283" s="752"/>
      <c r="R283" s="726">
        <f>+R284</f>
        <v>111000000</v>
      </c>
      <c r="S283" s="220"/>
      <c r="T283" s="220"/>
      <c r="U283" s="150"/>
      <c r="V283" s="150"/>
      <c r="W283" s="772"/>
      <c r="X283" s="802"/>
      <c r="Y283" s="772"/>
      <c r="Z283" s="787"/>
      <c r="AA283" s="783"/>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7">
        <v>111000000</v>
      </c>
      <c r="S284" s="62"/>
      <c r="T284" s="152"/>
      <c r="U284" s="153" t="s">
        <v>163</v>
      </c>
      <c r="V284" s="153">
        <v>3023</v>
      </c>
      <c r="W284" s="778">
        <v>111000000</v>
      </c>
      <c r="X284" s="807"/>
      <c r="Y284" s="778">
        <v>4792839</v>
      </c>
      <c r="Z284" s="788">
        <f t="shared" ref="Z284:Z347" si="6">+Y284-R284</f>
        <v>-106207161</v>
      </c>
      <c r="AA284" s="783"/>
    </row>
    <row r="285" spans="2:27" ht="15.75" customHeight="1" x14ac:dyDescent="0.2">
      <c r="B285" s="146" t="s">
        <v>7</v>
      </c>
      <c r="C285" s="146" t="s">
        <v>29</v>
      </c>
      <c r="D285" s="146" t="s">
        <v>23</v>
      </c>
      <c r="E285" s="146"/>
      <c r="F285" s="146"/>
      <c r="G285" s="146"/>
      <c r="H285" s="146"/>
      <c r="I285" s="146"/>
      <c r="J285" s="146"/>
      <c r="K285" s="337"/>
      <c r="L285" s="337"/>
      <c r="M285" s="243" t="s">
        <v>109</v>
      </c>
      <c r="N285" s="751"/>
      <c r="O285" s="751" t="s">
        <v>106116</v>
      </c>
      <c r="P285" s="752"/>
      <c r="Q285" s="752"/>
      <c r="R285" s="726">
        <f>+R286</f>
        <v>2780000000</v>
      </c>
      <c r="S285" s="220"/>
      <c r="T285" s="220"/>
      <c r="U285" s="150"/>
      <c r="V285" s="150"/>
      <c r="W285" s="772"/>
      <c r="X285" s="802"/>
      <c r="Y285" s="772"/>
      <c r="Z285" s="787"/>
      <c r="AA285" s="783"/>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7">
        <f>5600000000-2360000000-460000000</f>
        <v>2780000000</v>
      </c>
      <c r="S286" s="62"/>
      <c r="T286" s="152"/>
      <c r="U286" s="153" t="s">
        <v>188</v>
      </c>
      <c r="V286" s="153"/>
      <c r="W286" s="778">
        <v>1425650822.78</v>
      </c>
      <c r="X286" s="807"/>
      <c r="Y286" s="778">
        <v>1425650822.78</v>
      </c>
      <c r="Z286" s="788">
        <f t="shared" si="6"/>
        <v>-1354349177.22</v>
      </c>
    </row>
    <row r="287" spans="2:27" ht="15.75" customHeight="1" x14ac:dyDescent="0.2">
      <c r="B287" s="314" t="s">
        <v>7</v>
      </c>
      <c r="C287" s="314" t="s">
        <v>30</v>
      </c>
      <c r="D287" s="314"/>
      <c r="E287" s="314"/>
      <c r="F287" s="314"/>
      <c r="G287" s="314"/>
      <c r="H287" s="314"/>
      <c r="I287" s="314"/>
      <c r="J287" s="314"/>
      <c r="K287" s="846"/>
      <c r="L287" s="338"/>
      <c r="M287" s="244" t="s">
        <v>110</v>
      </c>
      <c r="N287" s="753"/>
      <c r="O287" s="753" t="s">
        <v>106116</v>
      </c>
      <c r="P287" s="754"/>
      <c r="Q287" s="754"/>
      <c r="R287" s="727">
        <f>SUM(R288+R296+R299)</f>
        <v>4163000000</v>
      </c>
      <c r="S287" s="221"/>
      <c r="T287" s="221"/>
      <c r="U287" s="159"/>
      <c r="V287" s="159"/>
      <c r="W287" s="772"/>
      <c r="X287" s="802"/>
      <c r="Y287" s="772"/>
      <c r="Z287" s="787"/>
    </row>
    <row r="288" spans="2:27" ht="15.75" customHeight="1" x14ac:dyDescent="0.2">
      <c r="B288" s="161" t="s">
        <v>7</v>
      </c>
      <c r="C288" s="161" t="s">
        <v>30</v>
      </c>
      <c r="D288" s="161" t="s">
        <v>8</v>
      </c>
      <c r="E288" s="161"/>
      <c r="F288" s="161"/>
      <c r="G288" s="161"/>
      <c r="H288" s="161"/>
      <c r="I288" s="161"/>
      <c r="J288" s="161"/>
      <c r="K288" s="339"/>
      <c r="L288" s="339"/>
      <c r="M288" s="245" t="s">
        <v>111</v>
      </c>
      <c r="N288" s="755"/>
      <c r="O288" s="755" t="s">
        <v>106116</v>
      </c>
      <c r="P288" s="756"/>
      <c r="Q288" s="756"/>
      <c r="R288" s="728">
        <f>+R289</f>
        <v>3753000000</v>
      </c>
      <c r="S288" s="222"/>
      <c r="T288" s="222"/>
      <c r="U288" s="165"/>
      <c r="V288" s="165"/>
      <c r="W288" s="772"/>
      <c r="X288" s="802"/>
      <c r="Y288" s="772"/>
      <c r="Z288" s="787"/>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9">
        <f>+R290+R292+R294</f>
        <v>3753000000</v>
      </c>
      <c r="S289" s="223"/>
      <c r="T289" s="223"/>
      <c r="U289" s="171"/>
      <c r="V289" s="171"/>
      <c r="W289" s="773"/>
      <c r="X289" s="800"/>
      <c r="Y289" s="773"/>
      <c r="Z289" s="787"/>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4">
        <f>+R291</f>
        <v>3675000000</v>
      </c>
      <c r="S290" s="211"/>
      <c r="T290" s="211"/>
      <c r="U290" s="43"/>
      <c r="V290" s="43"/>
      <c r="W290" s="773"/>
      <c r="X290" s="800"/>
      <c r="Y290" s="773"/>
      <c r="Z290" s="787"/>
    </row>
    <row r="291" spans="2:26" ht="15" customHeight="1" x14ac:dyDescent="0.2">
      <c r="B291" s="321"/>
      <c r="C291" s="93"/>
      <c r="D291" s="93"/>
      <c r="E291" s="93"/>
      <c r="F291" s="93"/>
      <c r="G291" s="93"/>
      <c r="H291" s="93"/>
      <c r="I291" s="93"/>
      <c r="J291" s="344"/>
      <c r="K291" s="344" t="str">
        <f>B290&amp;"-"&amp;C290&amp;"-"&amp;D290&amp;"-"&amp;E290&amp;"-"&amp;F290</f>
        <v>A-08-01-02-001</v>
      </c>
      <c r="L291" s="687"/>
      <c r="M291" s="129" t="s">
        <v>113</v>
      </c>
      <c r="N291" s="60"/>
      <c r="O291" s="60" t="s">
        <v>231</v>
      </c>
      <c r="P291" s="60"/>
      <c r="Q291" s="60"/>
      <c r="R291" s="724">
        <f>3475000000+200000000</f>
        <v>3675000000</v>
      </c>
      <c r="S291" s="62"/>
      <c r="T291" s="172"/>
      <c r="U291" s="153" t="s">
        <v>187</v>
      </c>
      <c r="V291" s="153"/>
      <c r="W291" s="778">
        <v>3245929168</v>
      </c>
      <c r="X291" s="807"/>
      <c r="Y291" s="778">
        <v>3245929168</v>
      </c>
      <c r="Z291" s="788">
        <f t="shared" si="6"/>
        <v>-429070832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4">
        <f>+R293</f>
        <v>75000000</v>
      </c>
      <c r="S292" s="211"/>
      <c r="T292" s="211"/>
      <c r="U292" s="43"/>
      <c r="V292" s="43"/>
      <c r="W292" s="773"/>
      <c r="X292" s="800"/>
      <c r="Y292" s="773"/>
      <c r="Z292" s="787"/>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7">
        <v>75000000</v>
      </c>
      <c r="S293" s="62"/>
      <c r="T293" s="63"/>
      <c r="U293" s="64" t="s">
        <v>464</v>
      </c>
      <c r="V293" s="64"/>
      <c r="W293" s="776">
        <v>67964091</v>
      </c>
      <c r="X293" s="804"/>
      <c r="Y293" s="776">
        <v>67964091</v>
      </c>
      <c r="Z293" s="788">
        <f t="shared" si="6"/>
        <v>-7035909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4">
        <f>+R295</f>
        <v>3000000</v>
      </c>
      <c r="S294" s="211"/>
      <c r="T294" s="211"/>
      <c r="U294" s="43"/>
      <c r="V294" s="43"/>
      <c r="W294" s="773"/>
      <c r="X294" s="800"/>
      <c r="Y294" s="773"/>
      <c r="Z294" s="787"/>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7">
        <v>3000000</v>
      </c>
      <c r="S295" s="62"/>
      <c r="T295" s="63"/>
      <c r="U295" s="64" t="s">
        <v>358</v>
      </c>
      <c r="V295" s="64"/>
      <c r="W295" s="776">
        <v>2410604</v>
      </c>
      <c r="X295" s="804"/>
      <c r="Y295" s="776">
        <v>2410604</v>
      </c>
      <c r="Z295" s="788">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5"/>
      <c r="O296" s="755" t="s">
        <v>106116</v>
      </c>
      <c r="P296" s="756"/>
      <c r="Q296" s="756"/>
      <c r="R296" s="728">
        <f>+R297+R298</f>
        <v>360000000</v>
      </c>
      <c r="S296" s="222"/>
      <c r="T296" s="222"/>
      <c r="U296" s="165"/>
      <c r="V296" s="165"/>
      <c r="W296" s="772"/>
      <c r="X296" s="802"/>
      <c r="Y296" s="772"/>
      <c r="Z296" s="787"/>
    </row>
    <row r="297" spans="2:26" ht="15" customHeight="1" x14ac:dyDescent="0.2">
      <c r="B297" s="167" t="s">
        <v>7</v>
      </c>
      <c r="C297" s="167" t="s">
        <v>30</v>
      </c>
      <c r="D297" s="167" t="s">
        <v>24</v>
      </c>
      <c r="E297" s="167" t="s">
        <v>8</v>
      </c>
      <c r="F297" s="167"/>
      <c r="G297" s="167"/>
      <c r="H297" s="167"/>
      <c r="I297" s="167"/>
      <c r="J297" s="167"/>
      <c r="K297" s="847" t="s">
        <v>106288</v>
      </c>
      <c r="L297" s="340"/>
      <c r="M297" s="246" t="s">
        <v>117</v>
      </c>
      <c r="N297" s="169" t="s">
        <v>106116</v>
      </c>
      <c r="O297" s="169" t="s">
        <v>231</v>
      </c>
      <c r="P297" s="170"/>
      <c r="Q297" s="170"/>
      <c r="R297" s="730">
        <v>128000000</v>
      </c>
      <c r="S297" s="167"/>
      <c r="T297" s="173"/>
      <c r="U297" s="171"/>
      <c r="V297" s="171"/>
      <c r="W297" s="773"/>
      <c r="X297" s="800"/>
      <c r="Y297" s="773"/>
      <c r="Z297" s="787"/>
    </row>
    <row r="298" spans="2:26" ht="15" customHeight="1" x14ac:dyDescent="0.2">
      <c r="B298" s="167" t="s">
        <v>7</v>
      </c>
      <c r="C298" s="167" t="s">
        <v>30</v>
      </c>
      <c r="D298" s="167" t="s">
        <v>24</v>
      </c>
      <c r="E298" s="167" t="s">
        <v>24</v>
      </c>
      <c r="F298" s="167"/>
      <c r="G298" s="167"/>
      <c r="H298" s="167"/>
      <c r="I298" s="167"/>
      <c r="J298" s="167"/>
      <c r="K298" s="847" t="s">
        <v>106289</v>
      </c>
      <c r="L298" s="340"/>
      <c r="M298" s="246" t="s">
        <v>242</v>
      </c>
      <c r="N298" s="169" t="s">
        <v>106227</v>
      </c>
      <c r="O298" s="169" t="s">
        <v>231</v>
      </c>
      <c r="P298" s="170"/>
      <c r="Q298" s="170"/>
      <c r="R298" s="730">
        <v>232000000</v>
      </c>
      <c r="S298" s="167"/>
      <c r="T298" s="173"/>
      <c r="U298" s="171" t="s">
        <v>187</v>
      </c>
      <c r="V298" s="171"/>
      <c r="W298" s="773"/>
      <c r="X298" s="800"/>
      <c r="Y298" s="773"/>
      <c r="Z298" s="787"/>
    </row>
    <row r="299" spans="2:26" ht="15.75" customHeight="1" x14ac:dyDescent="0.2">
      <c r="B299" s="161" t="s">
        <v>7</v>
      </c>
      <c r="C299" s="161" t="s">
        <v>30</v>
      </c>
      <c r="D299" s="174" t="s">
        <v>27</v>
      </c>
      <c r="E299" s="161"/>
      <c r="F299" s="161"/>
      <c r="G299" s="161"/>
      <c r="H299" s="161"/>
      <c r="I299" s="161"/>
      <c r="J299" s="161"/>
      <c r="K299" s="161"/>
      <c r="L299" s="339"/>
      <c r="M299" s="245" t="s">
        <v>421</v>
      </c>
      <c r="N299" s="755"/>
      <c r="O299" s="755" t="s">
        <v>106116</v>
      </c>
      <c r="P299" s="756"/>
      <c r="Q299" s="756"/>
      <c r="R299" s="728">
        <f>+R300</f>
        <v>50000000</v>
      </c>
      <c r="S299" s="222"/>
      <c r="T299" s="222"/>
      <c r="U299" s="165"/>
      <c r="V299" s="165"/>
      <c r="W299" s="772"/>
      <c r="X299" s="802"/>
      <c r="Y299" s="772"/>
      <c r="Z299" s="787"/>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30">
        <v>50000000</v>
      </c>
      <c r="S300" s="167"/>
      <c r="T300" s="173"/>
      <c r="U300" s="171"/>
      <c r="V300" s="171"/>
      <c r="W300" s="773"/>
      <c r="X300" s="800"/>
      <c r="Y300" s="773"/>
      <c r="Z300" s="787"/>
    </row>
    <row r="301" spans="2:26" ht="15.75" customHeight="1" x14ac:dyDescent="0.2">
      <c r="B301" s="177" t="s">
        <v>132</v>
      </c>
      <c r="C301" s="177"/>
      <c r="D301" s="177"/>
      <c r="E301" s="177"/>
      <c r="F301" s="177"/>
      <c r="G301" s="177"/>
      <c r="H301" s="177"/>
      <c r="I301" s="177"/>
      <c r="J301" s="177"/>
      <c r="K301" s="341"/>
      <c r="L301" s="341"/>
      <c r="M301" s="247" t="s">
        <v>135</v>
      </c>
      <c r="N301" s="757"/>
      <c r="O301" s="757" t="s">
        <v>106116</v>
      </c>
      <c r="P301" s="758"/>
      <c r="Q301" s="758"/>
      <c r="R301" s="731">
        <f>+R302+R344</f>
        <v>19265000000</v>
      </c>
      <c r="S301" s="224"/>
      <c r="T301" s="224"/>
      <c r="U301" s="181"/>
      <c r="V301" s="181"/>
      <c r="W301" s="772"/>
      <c r="X301" s="802"/>
      <c r="Y301" s="772"/>
      <c r="Z301" s="787"/>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2">
        <f>+R303</f>
        <v>16777000000</v>
      </c>
      <c r="S302" s="225"/>
      <c r="T302" s="225"/>
      <c r="U302" s="187"/>
      <c r="V302" s="187"/>
      <c r="W302" s="775"/>
      <c r="X302" s="806"/>
      <c r="Y302" s="775"/>
      <c r="Z302" s="787"/>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3">
        <f>+R304+R321</f>
        <v>16777000000</v>
      </c>
      <c r="S303" s="226"/>
      <c r="T303" s="226"/>
      <c r="U303" s="193"/>
      <c r="V303" s="193"/>
      <c r="W303" s="775"/>
      <c r="X303" s="806"/>
      <c r="Y303" s="775"/>
      <c r="Z303" s="787"/>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4">
        <f>+R305</f>
        <v>8142000000</v>
      </c>
      <c r="S304" s="227"/>
      <c r="T304" s="227"/>
      <c r="U304" s="194"/>
      <c r="V304" s="194"/>
      <c r="W304" s="775"/>
      <c r="X304" s="806"/>
      <c r="Y304" s="775"/>
      <c r="Z304" s="787"/>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1">
        <f>SUM(R306:R320)</f>
        <v>8142000000</v>
      </c>
      <c r="S305" s="228">
        <v>8142000000</v>
      </c>
      <c r="T305" s="228">
        <f>+S305-R305</f>
        <v>0</v>
      </c>
      <c r="U305" s="197"/>
      <c r="V305" s="197"/>
      <c r="W305" s="775"/>
      <c r="X305" s="806"/>
      <c r="Y305" s="775"/>
      <c r="Z305" s="787"/>
    </row>
    <row r="306" spans="2:26" ht="45" customHeight="1" x14ac:dyDescent="0.2">
      <c r="B306" s="321"/>
      <c r="C306" s="93"/>
      <c r="D306" s="93"/>
      <c r="E306" s="93"/>
      <c r="F306" s="93"/>
      <c r="G306" s="93"/>
      <c r="H306" s="93"/>
      <c r="I306" s="93"/>
      <c r="J306" s="344"/>
      <c r="K306" s="344" t="str">
        <f>B304&amp;"-"&amp;D304&amp;"-"&amp;F304&amp;"-"&amp;H304</f>
        <v>C-1505-0100-4</v>
      </c>
      <c r="L306" s="679" t="s">
        <v>223</v>
      </c>
      <c r="M306" s="58" t="s">
        <v>106092</v>
      </c>
      <c r="N306" s="59">
        <v>45000</v>
      </c>
      <c r="O306" s="59" t="s">
        <v>256</v>
      </c>
      <c r="P306" s="3" t="s">
        <v>364</v>
      </c>
      <c r="Q306" s="60" t="s">
        <v>106014</v>
      </c>
      <c r="R306" s="719">
        <v>1800000000</v>
      </c>
      <c r="S306" s="765" t="s">
        <v>211</v>
      </c>
      <c r="T306" s="698">
        <v>4138111605.7019501</v>
      </c>
      <c r="U306" s="794" t="s">
        <v>106075</v>
      </c>
      <c r="V306" s="794">
        <v>32123</v>
      </c>
      <c r="W306" s="779">
        <v>1800000000</v>
      </c>
      <c r="X306" s="808"/>
      <c r="Y306" s="779"/>
      <c r="Z306" s="788">
        <f t="shared" si="6"/>
        <v>-1800000000</v>
      </c>
    </row>
    <row r="307" spans="2:26" ht="30" customHeight="1" x14ac:dyDescent="0.2">
      <c r="B307" s="321"/>
      <c r="C307" s="93"/>
      <c r="D307" s="93"/>
      <c r="E307" s="93"/>
      <c r="F307" s="93"/>
      <c r="G307" s="93"/>
      <c r="H307" s="93"/>
      <c r="I307" s="93"/>
      <c r="J307" s="344"/>
      <c r="K307" s="344" t="s">
        <v>106290</v>
      </c>
      <c r="L307" s="679">
        <v>81101500</v>
      </c>
      <c r="M307" s="58" t="s">
        <v>106093</v>
      </c>
      <c r="N307" s="59">
        <v>45000</v>
      </c>
      <c r="O307" s="59" t="s">
        <v>256</v>
      </c>
      <c r="P307" s="3" t="s">
        <v>364</v>
      </c>
      <c r="Q307" s="60" t="s">
        <v>447</v>
      </c>
      <c r="R307" s="719">
        <v>162000000</v>
      </c>
      <c r="S307" s="765" t="s">
        <v>211</v>
      </c>
      <c r="T307" s="698">
        <v>550573392.68423378</v>
      </c>
      <c r="U307" s="794" t="s">
        <v>106075</v>
      </c>
      <c r="V307" s="794">
        <v>32123</v>
      </c>
      <c r="W307" s="779">
        <v>162000000</v>
      </c>
      <c r="X307" s="808"/>
      <c r="Y307" s="779"/>
      <c r="Z307" s="788">
        <f t="shared" si="6"/>
        <v>-162000000</v>
      </c>
    </row>
    <row r="308" spans="2:26" ht="45" customHeight="1" x14ac:dyDescent="0.2">
      <c r="B308" s="321"/>
      <c r="C308" s="93"/>
      <c r="D308" s="93"/>
      <c r="E308" s="93"/>
      <c r="F308" s="93"/>
      <c r="G308" s="93"/>
      <c r="H308" s="93"/>
      <c r="I308" s="93"/>
      <c r="J308" s="344"/>
      <c r="K308" s="344" t="s">
        <v>106290</v>
      </c>
      <c r="L308" s="679" t="s">
        <v>223</v>
      </c>
      <c r="M308" s="58" t="s">
        <v>106209</v>
      </c>
      <c r="N308" s="59">
        <v>45017</v>
      </c>
      <c r="O308" s="59" t="s">
        <v>315</v>
      </c>
      <c r="P308" s="60" t="s">
        <v>106226</v>
      </c>
      <c r="Q308" s="60" t="s">
        <v>106014</v>
      </c>
      <c r="R308" s="719">
        <v>2475476585</v>
      </c>
      <c r="S308" s="765" t="s">
        <v>211</v>
      </c>
      <c r="T308" s="698">
        <v>21235476585</v>
      </c>
      <c r="U308" s="794" t="s">
        <v>106075</v>
      </c>
      <c r="V308" s="794">
        <v>32123</v>
      </c>
      <c r="W308" s="779">
        <f>2475476585+24523415</f>
        <v>2500000000</v>
      </c>
      <c r="X308" s="808"/>
      <c r="Y308" s="779"/>
      <c r="Z308" s="788">
        <f t="shared" si="6"/>
        <v>-2475476585</v>
      </c>
    </row>
    <row r="309" spans="2:26" ht="30" customHeight="1" x14ac:dyDescent="0.2">
      <c r="B309" s="321"/>
      <c r="C309" s="93"/>
      <c r="D309" s="93"/>
      <c r="E309" s="93"/>
      <c r="F309" s="93"/>
      <c r="G309" s="93"/>
      <c r="H309" s="93"/>
      <c r="I309" s="93"/>
      <c r="J309" s="344"/>
      <c r="K309" s="344" t="s">
        <v>106290</v>
      </c>
      <c r="L309" s="679">
        <v>81101500</v>
      </c>
      <c r="M309" s="58" t="s">
        <v>106015</v>
      </c>
      <c r="N309" s="59">
        <v>45017</v>
      </c>
      <c r="O309" s="59" t="s">
        <v>315</v>
      </c>
      <c r="P309" s="60" t="s">
        <v>106226</v>
      </c>
      <c r="Q309" s="60" t="s">
        <v>447</v>
      </c>
      <c r="R309" s="719">
        <v>225000000</v>
      </c>
      <c r="S309" s="765" t="s">
        <v>211</v>
      </c>
      <c r="T309" s="698">
        <v>3015000000</v>
      </c>
      <c r="U309" s="794" t="s">
        <v>106075</v>
      </c>
      <c r="V309" s="794">
        <v>32123</v>
      </c>
      <c r="W309" s="779">
        <v>225000000</v>
      </c>
      <c r="X309" s="808"/>
      <c r="Y309" s="779"/>
      <c r="Z309" s="788">
        <f t="shared" si="6"/>
        <v>-225000000</v>
      </c>
    </row>
    <row r="310" spans="2:26" ht="30" customHeight="1" x14ac:dyDescent="0.2">
      <c r="B310" s="321"/>
      <c r="C310" s="93"/>
      <c r="D310" s="93"/>
      <c r="E310" s="93"/>
      <c r="F310" s="93"/>
      <c r="G310" s="93"/>
      <c r="H310" s="93"/>
      <c r="I310" s="93"/>
      <c r="J310" s="344"/>
      <c r="K310" s="344" t="s">
        <v>106290</v>
      </c>
      <c r="L310" s="679">
        <v>81101500</v>
      </c>
      <c r="M310" s="58" t="s">
        <v>422</v>
      </c>
      <c r="N310" s="59">
        <v>44940</v>
      </c>
      <c r="O310" s="59" t="s">
        <v>261</v>
      </c>
      <c r="P310" s="60" t="s">
        <v>234</v>
      </c>
      <c r="Q310" s="60" t="s">
        <v>451</v>
      </c>
      <c r="R310" s="719">
        <f>722828000-61325569-1895539-31270800-1818747.21-90676554+227393100</f>
        <v>763233890.78999996</v>
      </c>
      <c r="S310" s="61"/>
      <c r="T310" s="61"/>
      <c r="U310" s="794" t="s">
        <v>106075</v>
      </c>
      <c r="V310" s="794" t="s">
        <v>106257</v>
      </c>
      <c r="W310" s="779">
        <v>464084079</v>
      </c>
      <c r="X310" s="808"/>
      <c r="Y310" s="779">
        <v>265137109</v>
      </c>
      <c r="Z310" s="788">
        <f t="shared" si="6"/>
        <v>-498096781.78999996</v>
      </c>
    </row>
    <row r="311" spans="2:26" ht="60" x14ac:dyDescent="0.2">
      <c r="B311" s="321"/>
      <c r="C311" s="93"/>
      <c r="D311" s="93"/>
      <c r="E311" s="93"/>
      <c r="F311" s="93"/>
      <c r="G311" s="93"/>
      <c r="H311" s="93"/>
      <c r="I311" s="93"/>
      <c r="J311" s="344"/>
      <c r="K311" s="344" t="s">
        <v>106290</v>
      </c>
      <c r="L311" s="679" t="s">
        <v>106206</v>
      </c>
      <c r="M311" s="58" t="s">
        <v>106205</v>
      </c>
      <c r="N311" s="59" t="s">
        <v>106227</v>
      </c>
      <c r="O311" s="59" t="s">
        <v>315</v>
      </c>
      <c r="P311" s="60" t="s">
        <v>326</v>
      </c>
      <c r="Q311" s="60"/>
      <c r="R311" s="719">
        <v>31270800</v>
      </c>
      <c r="S311" s="61"/>
      <c r="T311" s="61"/>
      <c r="U311" s="794" t="s">
        <v>106075</v>
      </c>
      <c r="V311" s="794">
        <v>43223</v>
      </c>
      <c r="W311" s="779">
        <v>15635400</v>
      </c>
      <c r="X311" s="808"/>
      <c r="Y311" s="779">
        <v>15635400</v>
      </c>
      <c r="Z311" s="788">
        <f t="shared" si="6"/>
        <v>-15635400</v>
      </c>
    </row>
    <row r="312" spans="2:26" ht="30" customHeight="1" x14ac:dyDescent="0.2">
      <c r="B312" s="321"/>
      <c r="C312" s="93"/>
      <c r="D312" s="93"/>
      <c r="E312" s="93"/>
      <c r="F312" s="93"/>
      <c r="G312" s="93"/>
      <c r="H312" s="93"/>
      <c r="I312" s="93"/>
      <c r="J312" s="344"/>
      <c r="K312" s="344" t="s">
        <v>106290</v>
      </c>
      <c r="L312" s="679"/>
      <c r="M312" s="58" t="s">
        <v>106204</v>
      </c>
      <c r="N312" s="59">
        <v>45200</v>
      </c>
      <c r="O312" s="59" t="s">
        <v>368</v>
      </c>
      <c r="P312" s="60" t="s">
        <v>257</v>
      </c>
      <c r="Q312" s="60" t="s">
        <v>231</v>
      </c>
      <c r="R312" s="719">
        <f>1895539+90676554</f>
        <v>92572093</v>
      </c>
      <c r="S312" s="61"/>
      <c r="T312" s="61"/>
      <c r="U312" s="794" t="s">
        <v>106075</v>
      </c>
      <c r="V312" s="794">
        <v>55223</v>
      </c>
      <c r="W312" s="779">
        <v>1895539</v>
      </c>
      <c r="X312" s="808"/>
      <c r="Y312" s="779">
        <v>1895539</v>
      </c>
      <c r="Z312" s="788">
        <f t="shared" si="6"/>
        <v>-90676554</v>
      </c>
    </row>
    <row r="313" spans="2:26" ht="30" customHeight="1" x14ac:dyDescent="0.2">
      <c r="B313" s="321"/>
      <c r="C313" s="93"/>
      <c r="D313" s="93"/>
      <c r="E313" s="93"/>
      <c r="F313" s="93"/>
      <c r="G313" s="93"/>
      <c r="H313" s="93"/>
      <c r="I313" s="93"/>
      <c r="J313" s="344"/>
      <c r="K313" s="344" t="s">
        <v>106290</v>
      </c>
      <c r="L313" s="679"/>
      <c r="M313" s="58" t="s">
        <v>106216</v>
      </c>
      <c r="N313" s="59">
        <v>45139</v>
      </c>
      <c r="O313" s="59" t="s">
        <v>372</v>
      </c>
      <c r="P313" s="60" t="s">
        <v>257</v>
      </c>
      <c r="Q313" s="60"/>
      <c r="R313" s="719">
        <f>1818747.21</f>
        <v>1818747.21</v>
      </c>
      <c r="S313" s="61"/>
      <c r="T313" s="61"/>
      <c r="U313" s="794" t="s">
        <v>106075</v>
      </c>
      <c r="V313" s="794">
        <v>85123</v>
      </c>
      <c r="W313" s="779">
        <v>1818747.21</v>
      </c>
      <c r="X313" s="808"/>
      <c r="Y313" s="779">
        <v>1818747.21</v>
      </c>
      <c r="Z313" s="788"/>
    </row>
    <row r="314" spans="2:26" ht="45" customHeight="1" x14ac:dyDescent="0.2">
      <c r="B314" s="321"/>
      <c r="C314" s="93"/>
      <c r="D314" s="93"/>
      <c r="E314" s="93"/>
      <c r="F314" s="93"/>
      <c r="G314" s="93"/>
      <c r="H314" s="93"/>
      <c r="I314" s="93"/>
      <c r="J314" s="344"/>
      <c r="K314" s="344" t="s">
        <v>106290</v>
      </c>
      <c r="L314" s="679" t="s">
        <v>223</v>
      </c>
      <c r="M314" s="58" t="s">
        <v>106166</v>
      </c>
      <c r="N314" s="59">
        <v>44972</v>
      </c>
      <c r="O314" s="59" t="s">
        <v>259</v>
      </c>
      <c r="P314" s="60" t="s">
        <v>442</v>
      </c>
      <c r="Q314" s="60" t="s">
        <v>106014</v>
      </c>
      <c r="R314" s="719">
        <v>510000000</v>
      </c>
      <c r="S314" s="61"/>
      <c r="T314" s="61"/>
      <c r="U314" s="794" t="s">
        <v>106075</v>
      </c>
      <c r="V314" s="794">
        <v>5923</v>
      </c>
      <c r="W314" s="779">
        <v>319644933</v>
      </c>
      <c r="X314" s="808"/>
      <c r="Y314" s="779">
        <v>319644933</v>
      </c>
      <c r="Z314" s="788">
        <f t="shared" si="6"/>
        <v>-190355067</v>
      </c>
    </row>
    <row r="315" spans="2:26" ht="30" customHeight="1" x14ac:dyDescent="0.2">
      <c r="B315" s="321"/>
      <c r="C315" s="93"/>
      <c r="D315" s="93"/>
      <c r="E315" s="93"/>
      <c r="F315" s="93"/>
      <c r="G315" s="93"/>
      <c r="H315" s="93"/>
      <c r="I315" s="93"/>
      <c r="J315" s="344"/>
      <c r="K315" s="344" t="s">
        <v>106290</v>
      </c>
      <c r="L315" s="679">
        <v>81101500</v>
      </c>
      <c r="M315" s="58" t="s">
        <v>106167</v>
      </c>
      <c r="N315" s="59">
        <v>44972</v>
      </c>
      <c r="O315" s="59" t="s">
        <v>259</v>
      </c>
      <c r="P315" s="60" t="s">
        <v>442</v>
      </c>
      <c r="Q315" s="60" t="s">
        <v>447</v>
      </c>
      <c r="R315" s="719">
        <v>125423415</v>
      </c>
      <c r="S315" s="61"/>
      <c r="T315" s="61"/>
      <c r="U315" s="794" t="s">
        <v>106075</v>
      </c>
      <c r="V315" s="794">
        <v>6023</v>
      </c>
      <c r="W315" s="779">
        <v>55274069</v>
      </c>
      <c r="X315" s="808"/>
      <c r="Y315" s="779">
        <v>55274069</v>
      </c>
      <c r="Z315" s="788">
        <f t="shared" si="6"/>
        <v>-70149346</v>
      </c>
    </row>
    <row r="316" spans="2:26" ht="45" customHeight="1" x14ac:dyDescent="0.2">
      <c r="B316" s="321"/>
      <c r="C316" s="93"/>
      <c r="D316" s="93"/>
      <c r="E316" s="93"/>
      <c r="F316" s="93"/>
      <c r="G316" s="93"/>
      <c r="H316" s="93"/>
      <c r="I316" s="93"/>
      <c r="J316" s="344"/>
      <c r="K316" s="344" t="s">
        <v>106290</v>
      </c>
      <c r="L316" s="679" t="s">
        <v>223</v>
      </c>
      <c r="M316" s="58" t="s">
        <v>106168</v>
      </c>
      <c r="N316" s="59">
        <v>44727</v>
      </c>
      <c r="O316" s="59" t="s">
        <v>325</v>
      </c>
      <c r="P316" s="60" t="s">
        <v>305</v>
      </c>
      <c r="Q316" s="60" t="s">
        <v>106169</v>
      </c>
      <c r="R316" s="719">
        <f>2056272000-227393100</f>
        <v>1828878900</v>
      </c>
      <c r="S316" s="61"/>
      <c r="T316" s="61"/>
      <c r="U316" s="794" t="s">
        <v>106075</v>
      </c>
      <c r="V316" s="794"/>
      <c r="W316" s="779"/>
      <c r="X316" s="808"/>
      <c r="Y316" s="779"/>
      <c r="Z316" s="788">
        <f t="shared" si="6"/>
        <v>-1828878900</v>
      </c>
    </row>
    <row r="317" spans="2:26" ht="30" customHeight="1" x14ac:dyDescent="0.2">
      <c r="B317" s="321"/>
      <c r="C317" s="93"/>
      <c r="D317" s="93"/>
      <c r="E317" s="93"/>
      <c r="F317" s="93"/>
      <c r="G317" s="93"/>
      <c r="H317" s="93"/>
      <c r="I317" s="93"/>
      <c r="J317" s="344"/>
      <c r="K317" s="344" t="s">
        <v>106290</v>
      </c>
      <c r="L317" s="679">
        <v>90121600</v>
      </c>
      <c r="M317" s="58" t="s">
        <v>272</v>
      </c>
      <c r="N317" s="59">
        <v>44947</v>
      </c>
      <c r="O317" s="59" t="s">
        <v>261</v>
      </c>
      <c r="P317" s="60" t="s">
        <v>234</v>
      </c>
      <c r="Q317" s="60" t="s">
        <v>231</v>
      </c>
      <c r="R317" s="719">
        <v>25000000</v>
      </c>
      <c r="S317" s="61"/>
      <c r="T317" s="61"/>
      <c r="U317" s="794" t="s">
        <v>106075</v>
      </c>
      <c r="V317" s="794">
        <v>4723</v>
      </c>
      <c r="W317" s="779">
        <v>25000000</v>
      </c>
      <c r="X317" s="808"/>
      <c r="Y317" s="779">
        <v>25000000</v>
      </c>
      <c r="Z317" s="788">
        <f t="shared" si="6"/>
        <v>0</v>
      </c>
    </row>
    <row r="318" spans="2:26" ht="30" customHeight="1" x14ac:dyDescent="0.2">
      <c r="B318" s="321"/>
      <c r="C318" s="93"/>
      <c r="D318" s="93"/>
      <c r="E318" s="93"/>
      <c r="F318" s="93"/>
      <c r="G318" s="93"/>
      <c r="H318" s="93"/>
      <c r="I318" s="93"/>
      <c r="J318" s="344"/>
      <c r="K318" s="344" t="s">
        <v>106290</v>
      </c>
      <c r="L318" s="679">
        <v>90111500</v>
      </c>
      <c r="M318" s="58" t="s">
        <v>225</v>
      </c>
      <c r="N318" s="59">
        <v>44947</v>
      </c>
      <c r="O318" s="59" t="s">
        <v>261</v>
      </c>
      <c r="P318" s="60" t="s">
        <v>234</v>
      </c>
      <c r="Q318" s="60" t="s">
        <v>231</v>
      </c>
      <c r="R318" s="719">
        <v>20000000</v>
      </c>
      <c r="S318" s="61"/>
      <c r="T318" s="61"/>
      <c r="U318" s="794" t="s">
        <v>106075</v>
      </c>
      <c r="V318" s="794">
        <v>18923</v>
      </c>
      <c r="W318" s="779">
        <v>10000000</v>
      </c>
      <c r="X318" s="808"/>
      <c r="Y318" s="779"/>
      <c r="Z318" s="788">
        <f t="shared" si="6"/>
        <v>-20000000</v>
      </c>
    </row>
    <row r="319" spans="2:26" ht="30" customHeight="1" x14ac:dyDescent="0.2">
      <c r="B319" s="321"/>
      <c r="C319" s="93"/>
      <c r="D319" s="93"/>
      <c r="E319" s="93"/>
      <c r="F319" s="93"/>
      <c r="G319" s="93"/>
      <c r="H319" s="93"/>
      <c r="I319" s="93"/>
      <c r="J319" s="344"/>
      <c r="K319" s="344" t="s">
        <v>106290</v>
      </c>
      <c r="L319" s="679">
        <v>90111500</v>
      </c>
      <c r="M319" s="58" t="s">
        <v>226</v>
      </c>
      <c r="N319" s="59">
        <v>44947</v>
      </c>
      <c r="O319" s="59" t="s">
        <v>261</v>
      </c>
      <c r="P319" s="60" t="s">
        <v>234</v>
      </c>
      <c r="Q319" s="60" t="s">
        <v>231</v>
      </c>
      <c r="R319" s="719">
        <v>20000000</v>
      </c>
      <c r="S319" s="684"/>
      <c r="T319" s="72"/>
      <c r="U319" s="794" t="s">
        <v>106075</v>
      </c>
      <c r="V319" s="794">
        <v>18923</v>
      </c>
      <c r="W319" s="779">
        <v>10000000</v>
      </c>
      <c r="X319" s="808"/>
      <c r="Y319" s="779">
        <v>3606783</v>
      </c>
      <c r="Z319" s="788">
        <f t="shared" si="6"/>
        <v>-16393217</v>
      </c>
    </row>
    <row r="320" spans="2:26" ht="20.25" customHeight="1" x14ac:dyDescent="0.2">
      <c r="B320" s="321"/>
      <c r="C320" s="93"/>
      <c r="D320" s="93"/>
      <c r="E320" s="93"/>
      <c r="F320" s="93"/>
      <c r="G320" s="93"/>
      <c r="H320" s="93"/>
      <c r="I320" s="93"/>
      <c r="J320" s="344"/>
      <c r="K320" s="344" t="s">
        <v>106290</v>
      </c>
      <c r="L320" s="679"/>
      <c r="M320" s="58" t="s">
        <v>106196</v>
      </c>
      <c r="N320" s="59" t="s">
        <v>106116</v>
      </c>
      <c r="O320" s="59" t="s">
        <v>367</v>
      </c>
      <c r="P320" s="60"/>
      <c r="Q320" s="60"/>
      <c r="R320" s="719">
        <v>61325569</v>
      </c>
      <c r="S320" s="684"/>
      <c r="T320" s="72"/>
      <c r="U320" s="794" t="s">
        <v>106075</v>
      </c>
      <c r="V320" s="794">
        <v>34823</v>
      </c>
      <c r="W320" s="779">
        <v>61325569</v>
      </c>
      <c r="X320" s="808"/>
      <c r="Y320" s="779">
        <v>61325569</v>
      </c>
      <c r="Z320" s="788">
        <f t="shared" si="6"/>
        <v>0</v>
      </c>
    </row>
    <row r="321" spans="1:26" ht="30" customHeight="1" x14ac:dyDescent="0.2">
      <c r="B321" s="39" t="s">
        <v>132</v>
      </c>
      <c r="C321" s="39"/>
      <c r="D321" s="39" t="s">
        <v>133</v>
      </c>
      <c r="E321" s="39"/>
      <c r="F321" s="39" t="s">
        <v>134</v>
      </c>
      <c r="G321" s="39"/>
      <c r="H321" s="39" t="s">
        <v>32</v>
      </c>
      <c r="I321" s="39"/>
      <c r="J321" s="39"/>
      <c r="K321" s="329"/>
      <c r="L321" s="329"/>
      <c r="M321" s="233" t="s">
        <v>149</v>
      </c>
      <c r="N321" s="41"/>
      <c r="O321" s="41" t="s">
        <v>106116</v>
      </c>
      <c r="P321" s="42"/>
      <c r="Q321" s="42"/>
      <c r="R321" s="714">
        <f>+R322</f>
        <v>8635000000</v>
      </c>
      <c r="S321" s="211">
        <v>8635000000</v>
      </c>
      <c r="T321" s="211">
        <f>+S321-R321</f>
        <v>0</v>
      </c>
      <c r="U321" s="43"/>
      <c r="V321" s="43"/>
      <c r="W321" s="773"/>
      <c r="X321" s="800"/>
      <c r="Y321" s="773"/>
      <c r="Z321" s="787"/>
    </row>
    <row r="322" spans="1:26" ht="15.75" customHeight="1" x14ac:dyDescent="0.2">
      <c r="B322" s="308" t="s">
        <v>7</v>
      </c>
      <c r="C322" s="308" t="s">
        <v>20</v>
      </c>
      <c r="D322" s="308"/>
      <c r="E322" s="308"/>
      <c r="F322" s="308"/>
      <c r="G322" s="308"/>
      <c r="H322" s="308"/>
      <c r="I322" s="308"/>
      <c r="J322" s="308"/>
      <c r="K322" s="326"/>
      <c r="L322" s="326"/>
      <c r="M322" s="315" t="s">
        <v>244</v>
      </c>
      <c r="N322" s="195"/>
      <c r="O322" s="195" t="s">
        <v>106116</v>
      </c>
      <c r="P322" s="196"/>
      <c r="Q322" s="196"/>
      <c r="R322" s="735">
        <f>SUM(R323:R341)</f>
        <v>8635000000</v>
      </c>
      <c r="S322" s="229"/>
      <c r="T322" s="229"/>
      <c r="U322" s="201"/>
      <c r="V322" s="201"/>
      <c r="W322" s="773"/>
      <c r="X322" s="800"/>
      <c r="Y322" s="773"/>
      <c r="Z322" s="787"/>
    </row>
    <row r="323" spans="1:26" ht="45" customHeight="1" x14ac:dyDescent="0.2">
      <c r="A323" s="685"/>
      <c r="B323" s="321"/>
      <c r="C323" s="93"/>
      <c r="D323" s="93"/>
      <c r="E323" s="93"/>
      <c r="F323" s="93"/>
      <c r="G323" s="93"/>
      <c r="H323" s="93"/>
      <c r="I323" s="93"/>
      <c r="J323" s="344"/>
      <c r="K323" s="344" t="str">
        <f>B321&amp;"-"&amp;D321&amp;"-"&amp;F321&amp;"-"&amp;H321</f>
        <v>C-1505-0100-3</v>
      </c>
      <c r="L323" s="679" t="s">
        <v>223</v>
      </c>
      <c r="M323" s="58" t="s">
        <v>106094</v>
      </c>
      <c r="N323" s="59">
        <v>45061</v>
      </c>
      <c r="O323" s="59" t="s">
        <v>438</v>
      </c>
      <c r="P323" s="60" t="s">
        <v>319</v>
      </c>
      <c r="Q323" s="60" t="s">
        <v>277</v>
      </c>
      <c r="R323" s="719">
        <v>1300000000</v>
      </c>
      <c r="S323" s="62" t="s">
        <v>211</v>
      </c>
      <c r="T323" s="72">
        <v>860000000</v>
      </c>
      <c r="U323" s="58" t="s">
        <v>106075</v>
      </c>
      <c r="V323" s="58">
        <v>32123</v>
      </c>
      <c r="W323" s="777">
        <v>1300000000</v>
      </c>
      <c r="X323" s="801"/>
      <c r="Y323" s="777"/>
      <c r="Z323" s="788">
        <f t="shared" si="6"/>
        <v>-1300000000</v>
      </c>
    </row>
    <row r="324" spans="1:26" ht="30" customHeight="1" x14ac:dyDescent="0.2">
      <c r="B324" s="321"/>
      <c r="C324" s="93"/>
      <c r="D324" s="93"/>
      <c r="E324" s="93"/>
      <c r="F324" s="93"/>
      <c r="G324" s="93"/>
      <c r="H324" s="93"/>
      <c r="I324" s="93"/>
      <c r="J324" s="344"/>
      <c r="K324" s="344" t="s">
        <v>106291</v>
      </c>
      <c r="L324" s="328">
        <v>81101500</v>
      </c>
      <c r="M324" s="58" t="s">
        <v>106078</v>
      </c>
      <c r="N324" s="59">
        <v>45061</v>
      </c>
      <c r="O324" s="59" t="s">
        <v>438</v>
      </c>
      <c r="P324" s="60" t="s">
        <v>319</v>
      </c>
      <c r="Q324" s="60" t="s">
        <v>447</v>
      </c>
      <c r="R324" s="719">
        <v>117000000</v>
      </c>
      <c r="S324" s="62" t="s">
        <v>211</v>
      </c>
      <c r="T324" s="72">
        <v>77400000</v>
      </c>
      <c r="U324" s="58" t="s">
        <v>106075</v>
      </c>
      <c r="V324" s="58">
        <v>32123</v>
      </c>
      <c r="W324" s="777">
        <v>117000000</v>
      </c>
      <c r="X324" s="801"/>
      <c r="Y324" s="777"/>
      <c r="Z324" s="788">
        <f t="shared" si="6"/>
        <v>-117000000</v>
      </c>
    </row>
    <row r="325" spans="1:26" ht="45" customHeight="1" x14ac:dyDescent="0.2">
      <c r="B325" s="321"/>
      <c r="C325" s="93"/>
      <c r="D325" s="93"/>
      <c r="E325" s="93"/>
      <c r="F325" s="93"/>
      <c r="G325" s="93"/>
      <c r="H325" s="93"/>
      <c r="I325" s="93"/>
      <c r="J325" s="344"/>
      <c r="K325" s="344" t="s">
        <v>106291</v>
      </c>
      <c r="L325" s="679" t="s">
        <v>223</v>
      </c>
      <c r="M325" s="58" t="s">
        <v>106079</v>
      </c>
      <c r="N325" s="59">
        <v>45061</v>
      </c>
      <c r="O325" s="59" t="s">
        <v>438</v>
      </c>
      <c r="P325" s="60" t="s">
        <v>319</v>
      </c>
      <c r="Q325" s="60" t="s">
        <v>277</v>
      </c>
      <c r="R325" s="719">
        <f>1200000000-182652370</f>
        <v>1017347630</v>
      </c>
      <c r="S325" s="62" t="s">
        <v>211</v>
      </c>
      <c r="T325" s="72">
        <v>600000000</v>
      </c>
      <c r="U325" s="58" t="s">
        <v>106075</v>
      </c>
      <c r="V325" s="58">
        <v>32123</v>
      </c>
      <c r="W325" s="777">
        <f>1017347630+182652370</f>
        <v>1200000000</v>
      </c>
      <c r="X325" s="801"/>
      <c r="Y325" s="777"/>
      <c r="Z325" s="788">
        <f t="shared" si="6"/>
        <v>-1017347630</v>
      </c>
    </row>
    <row r="326" spans="1:26" ht="30" customHeight="1" x14ac:dyDescent="0.2">
      <c r="B326" s="321"/>
      <c r="C326" s="93"/>
      <c r="D326" s="93"/>
      <c r="E326" s="93"/>
      <c r="F326" s="93"/>
      <c r="G326" s="93"/>
      <c r="H326" s="93"/>
      <c r="I326" s="93"/>
      <c r="J326" s="344"/>
      <c r="K326" s="344" t="s">
        <v>106291</v>
      </c>
      <c r="L326" s="328">
        <v>81101500</v>
      </c>
      <c r="M326" s="58" t="s">
        <v>106080</v>
      </c>
      <c r="N326" s="59">
        <v>45061</v>
      </c>
      <c r="O326" s="59" t="s">
        <v>438</v>
      </c>
      <c r="P326" s="60" t="s">
        <v>319</v>
      </c>
      <c r="Q326" s="60" t="s">
        <v>447</v>
      </c>
      <c r="R326" s="719">
        <v>108000000</v>
      </c>
      <c r="S326" s="62" t="s">
        <v>211</v>
      </c>
      <c r="T326" s="72">
        <v>54000000</v>
      </c>
      <c r="U326" s="58" t="s">
        <v>106075</v>
      </c>
      <c r="V326" s="58">
        <v>32123</v>
      </c>
      <c r="W326" s="777">
        <v>108000000</v>
      </c>
      <c r="X326" s="801"/>
      <c r="Y326" s="777"/>
      <c r="Z326" s="788">
        <f t="shared" si="6"/>
        <v>-108000000</v>
      </c>
    </row>
    <row r="327" spans="1:26" ht="45" customHeight="1" x14ac:dyDescent="0.2">
      <c r="B327" s="321"/>
      <c r="C327" s="93"/>
      <c r="D327" s="93"/>
      <c r="E327" s="93"/>
      <c r="F327" s="93"/>
      <c r="G327" s="93"/>
      <c r="H327" s="93"/>
      <c r="I327" s="93"/>
      <c r="J327" s="344"/>
      <c r="K327" s="344" t="s">
        <v>106291</v>
      </c>
      <c r="L327" s="679" t="s">
        <v>223</v>
      </c>
      <c r="M327" s="58" t="s">
        <v>106081</v>
      </c>
      <c r="N327" s="59">
        <v>45061</v>
      </c>
      <c r="O327" s="59" t="s">
        <v>438</v>
      </c>
      <c r="P327" s="60" t="s">
        <v>319</v>
      </c>
      <c r="Q327" s="60" t="s">
        <v>277</v>
      </c>
      <c r="R327" s="719">
        <v>1500000000</v>
      </c>
      <c r="S327" s="62" t="s">
        <v>211</v>
      </c>
      <c r="T327" s="72">
        <v>1650000000</v>
      </c>
      <c r="U327" s="58" t="s">
        <v>106075</v>
      </c>
      <c r="V327" s="58">
        <v>32123</v>
      </c>
      <c r="W327" s="777">
        <v>1500000000</v>
      </c>
      <c r="X327" s="801"/>
      <c r="Y327" s="777"/>
      <c r="Z327" s="788">
        <f t="shared" si="6"/>
        <v>-1500000000</v>
      </c>
    </row>
    <row r="328" spans="1:26" ht="30" customHeight="1" x14ac:dyDescent="0.2">
      <c r="B328" s="321"/>
      <c r="C328" s="93"/>
      <c r="D328" s="93"/>
      <c r="E328" s="93"/>
      <c r="F328" s="93"/>
      <c r="G328" s="93"/>
      <c r="H328" s="93"/>
      <c r="I328" s="93"/>
      <c r="J328" s="344"/>
      <c r="K328" s="344" t="s">
        <v>106291</v>
      </c>
      <c r="L328" s="679">
        <v>81101500</v>
      </c>
      <c r="M328" s="58" t="s">
        <v>106082</v>
      </c>
      <c r="N328" s="59">
        <v>45061</v>
      </c>
      <c r="O328" s="59" t="s">
        <v>438</v>
      </c>
      <c r="P328" s="60" t="s">
        <v>319</v>
      </c>
      <c r="Q328" s="60" t="s">
        <v>447</v>
      </c>
      <c r="R328" s="719">
        <v>135000000</v>
      </c>
      <c r="S328" s="62" t="s">
        <v>211</v>
      </c>
      <c r="T328" s="72">
        <v>148500000</v>
      </c>
      <c r="U328" s="58" t="s">
        <v>106075</v>
      </c>
      <c r="V328" s="58">
        <v>32123</v>
      </c>
      <c r="W328" s="777">
        <v>135000000</v>
      </c>
      <c r="X328" s="801"/>
      <c r="Y328" s="777"/>
      <c r="Z328" s="788">
        <f t="shared" si="6"/>
        <v>-135000000</v>
      </c>
    </row>
    <row r="329" spans="1:26" ht="45" customHeight="1" x14ac:dyDescent="0.2">
      <c r="B329" s="321"/>
      <c r="C329" s="93"/>
      <c r="D329" s="93"/>
      <c r="E329" s="93"/>
      <c r="F329" s="93"/>
      <c r="G329" s="93"/>
      <c r="H329" s="93"/>
      <c r="I329" s="93"/>
      <c r="J329" s="344"/>
      <c r="K329" s="344" t="s">
        <v>106291</v>
      </c>
      <c r="L329" s="679" t="s">
        <v>223</v>
      </c>
      <c r="M329" s="58" t="s">
        <v>106170</v>
      </c>
      <c r="N329" s="59">
        <v>45092</v>
      </c>
      <c r="O329" s="59" t="s">
        <v>325</v>
      </c>
      <c r="P329" s="60" t="s">
        <v>319</v>
      </c>
      <c r="Q329" s="60" t="s">
        <v>277</v>
      </c>
      <c r="R329" s="719">
        <v>1300000000</v>
      </c>
      <c r="S329" s="62" t="s">
        <v>211</v>
      </c>
      <c r="T329" s="72">
        <v>1555616086.6666698</v>
      </c>
      <c r="U329" s="58" t="s">
        <v>106075</v>
      </c>
      <c r="V329" s="58">
        <v>32123</v>
      </c>
      <c r="W329" s="777">
        <v>1300000000</v>
      </c>
      <c r="X329" s="801"/>
      <c r="Y329" s="777"/>
      <c r="Z329" s="788">
        <f t="shared" si="6"/>
        <v>-1300000000</v>
      </c>
    </row>
    <row r="330" spans="1:26" ht="30" customHeight="1" x14ac:dyDescent="0.2">
      <c r="B330" s="321"/>
      <c r="C330" s="93"/>
      <c r="D330" s="93"/>
      <c r="E330" s="93"/>
      <c r="F330" s="93"/>
      <c r="G330" s="93"/>
      <c r="H330" s="93"/>
      <c r="I330" s="93"/>
      <c r="J330" s="344"/>
      <c r="K330" s="344" t="s">
        <v>106291</v>
      </c>
      <c r="L330" s="679">
        <v>81101500</v>
      </c>
      <c r="M330" s="58" t="s">
        <v>106171</v>
      </c>
      <c r="N330" s="59">
        <v>45092</v>
      </c>
      <c r="O330" s="59" t="s">
        <v>325</v>
      </c>
      <c r="P330" s="60" t="s">
        <v>319</v>
      </c>
      <c r="Q330" s="60" t="s">
        <v>447</v>
      </c>
      <c r="R330" s="719">
        <v>117000000</v>
      </c>
      <c r="S330" s="62" t="s">
        <v>211</v>
      </c>
      <c r="T330" s="72">
        <v>140005447.80000028</v>
      </c>
      <c r="U330" s="58" t="s">
        <v>106075</v>
      </c>
      <c r="V330" s="58">
        <v>32123</v>
      </c>
      <c r="W330" s="777">
        <v>117000000</v>
      </c>
      <c r="X330" s="801"/>
      <c r="Y330" s="777"/>
      <c r="Z330" s="788">
        <f t="shared" si="6"/>
        <v>-117000000</v>
      </c>
    </row>
    <row r="331" spans="1:26" ht="45" customHeight="1" x14ac:dyDescent="0.2">
      <c r="B331" s="321"/>
      <c r="C331" s="93"/>
      <c r="D331" s="93"/>
      <c r="E331" s="93"/>
      <c r="F331" s="93"/>
      <c r="G331" s="93"/>
      <c r="H331" s="93"/>
      <c r="I331" s="93"/>
      <c r="J331" s="344"/>
      <c r="K331" s="344" t="s">
        <v>106291</v>
      </c>
      <c r="L331" s="679" t="s">
        <v>223</v>
      </c>
      <c r="M331" s="58" t="s">
        <v>106172</v>
      </c>
      <c r="N331" s="59">
        <v>45061</v>
      </c>
      <c r="O331" s="59" t="s">
        <v>438</v>
      </c>
      <c r="P331" s="60" t="s">
        <v>316</v>
      </c>
      <c r="Q331" s="60" t="s">
        <v>277</v>
      </c>
      <c r="R331" s="719">
        <f>1362385321.1-49738213+220000000+182652370-45274022</f>
        <v>1670025456.0999999</v>
      </c>
      <c r="S331" s="62"/>
      <c r="T331" s="72"/>
      <c r="U331" s="58" t="s">
        <v>106075</v>
      </c>
      <c r="V331" s="58">
        <v>78423</v>
      </c>
      <c r="W331" s="777">
        <v>1715299478.0999999</v>
      </c>
      <c r="X331" s="801" t="s">
        <v>106258</v>
      </c>
      <c r="Y331" s="777">
        <v>1592506124.7099998</v>
      </c>
      <c r="Z331" s="788">
        <f t="shared" si="6"/>
        <v>-77519331.390000105</v>
      </c>
    </row>
    <row r="332" spans="1:26" ht="30" customHeight="1" x14ac:dyDescent="0.2">
      <c r="B332" s="321"/>
      <c r="C332" s="93"/>
      <c r="D332" s="93"/>
      <c r="E332" s="93"/>
      <c r="F332" s="93"/>
      <c r="G332" s="93"/>
      <c r="H332" s="93"/>
      <c r="I332" s="93"/>
      <c r="J332" s="344"/>
      <c r="K332" s="344" t="s">
        <v>106291</v>
      </c>
      <c r="L332" s="679">
        <v>81101500</v>
      </c>
      <c r="M332" s="58" t="s">
        <v>106173</v>
      </c>
      <c r="N332" s="59">
        <v>45061</v>
      </c>
      <c r="O332" s="59" t="s">
        <v>438</v>
      </c>
      <c r="P332" s="60" t="s">
        <v>316</v>
      </c>
      <c r="Q332" s="60" t="s">
        <v>447</v>
      </c>
      <c r="R332" s="719">
        <f>122614678.9+200000000+45274022</f>
        <v>367888700.89999998</v>
      </c>
      <c r="S332" s="62"/>
      <c r="T332" s="72"/>
      <c r="U332" s="58" t="s">
        <v>106075</v>
      </c>
      <c r="V332" s="58"/>
      <c r="W332" s="777"/>
      <c r="X332" s="801"/>
      <c r="Y332" s="777"/>
      <c r="Z332" s="788">
        <f t="shared" si="6"/>
        <v>-367888700.89999998</v>
      </c>
    </row>
    <row r="333" spans="1:26" ht="30" customHeight="1" x14ac:dyDescent="0.2">
      <c r="B333" s="321"/>
      <c r="C333" s="93"/>
      <c r="D333" s="93"/>
      <c r="E333" s="93"/>
      <c r="F333" s="93"/>
      <c r="G333" s="93"/>
      <c r="H333" s="93"/>
      <c r="I333" s="93"/>
      <c r="J333" s="344"/>
      <c r="K333" s="344" t="s">
        <v>106291</v>
      </c>
      <c r="L333" s="679">
        <v>81101500</v>
      </c>
      <c r="M333" s="58" t="s">
        <v>106085</v>
      </c>
      <c r="N333" s="59">
        <v>44972</v>
      </c>
      <c r="O333" s="59" t="s">
        <v>259</v>
      </c>
      <c r="P333" s="60" t="s">
        <v>442</v>
      </c>
      <c r="Q333" s="60" t="s">
        <v>447</v>
      </c>
      <c r="R333" s="719">
        <f>103000000+640789</f>
        <v>103640789</v>
      </c>
      <c r="S333" s="62"/>
      <c r="T333" s="72"/>
      <c r="U333" s="58" t="s">
        <v>106075</v>
      </c>
      <c r="V333" s="58" t="s">
        <v>106260</v>
      </c>
      <c r="W333" s="777">
        <v>103640789</v>
      </c>
      <c r="X333" s="801"/>
      <c r="Y333" s="777">
        <v>103640789</v>
      </c>
      <c r="Z333" s="788">
        <f t="shared" si="6"/>
        <v>0</v>
      </c>
    </row>
    <row r="334" spans="1:26" ht="30" customHeight="1" x14ac:dyDescent="0.2">
      <c r="B334" s="321"/>
      <c r="C334" s="93"/>
      <c r="D334" s="93"/>
      <c r="E334" s="93"/>
      <c r="F334" s="93"/>
      <c r="G334" s="93"/>
      <c r="H334" s="93"/>
      <c r="I334" s="93"/>
      <c r="J334" s="344"/>
      <c r="K334" s="344" t="s">
        <v>106291</v>
      </c>
      <c r="L334" s="679" t="s">
        <v>231</v>
      </c>
      <c r="M334" s="58" t="s">
        <v>106086</v>
      </c>
      <c r="N334" s="59" t="s">
        <v>231</v>
      </c>
      <c r="O334" s="59" t="s">
        <v>231</v>
      </c>
      <c r="P334" s="60" t="s">
        <v>231</v>
      </c>
      <c r="Q334" s="60" t="s">
        <v>231</v>
      </c>
      <c r="R334" s="719">
        <v>120000000</v>
      </c>
      <c r="S334" s="62"/>
      <c r="T334" s="72"/>
      <c r="U334" s="58" t="s">
        <v>106075</v>
      </c>
      <c r="V334" s="58" t="s">
        <v>106259</v>
      </c>
      <c r="W334" s="777">
        <v>26103329.140000001</v>
      </c>
      <c r="X334" s="801"/>
      <c r="Y334" s="777">
        <v>26103329.140000001</v>
      </c>
      <c r="Z334" s="788">
        <f t="shared" si="6"/>
        <v>-93896670.859999999</v>
      </c>
    </row>
    <row r="335" spans="1:26" ht="30" customHeight="1" x14ac:dyDescent="0.2">
      <c r="B335" s="321"/>
      <c r="C335" s="93"/>
      <c r="D335" s="93"/>
      <c r="E335" s="93"/>
      <c r="F335" s="93"/>
      <c r="G335" s="93"/>
      <c r="H335" s="93"/>
      <c r="I335" s="93"/>
      <c r="J335" s="344"/>
      <c r="K335" s="344" t="s">
        <v>106291</v>
      </c>
      <c r="L335" s="679"/>
      <c r="M335" s="58" t="s">
        <v>106174</v>
      </c>
      <c r="N335" s="59" t="s">
        <v>231</v>
      </c>
      <c r="O335" s="59" t="s">
        <v>231</v>
      </c>
      <c r="P335" s="60" t="s">
        <v>231</v>
      </c>
      <c r="Q335" s="60" t="s">
        <v>106175</v>
      </c>
      <c r="R335" s="719">
        <f>800000000-200000000</f>
        <v>600000000</v>
      </c>
      <c r="S335" s="62"/>
      <c r="T335" s="72"/>
      <c r="U335" s="58" t="s">
        <v>106075</v>
      </c>
      <c r="V335" s="58"/>
      <c r="W335" s="777"/>
      <c r="X335" s="801"/>
      <c r="Y335" s="777"/>
      <c r="Z335" s="788">
        <f t="shared" si="6"/>
        <v>-600000000</v>
      </c>
    </row>
    <row r="336" spans="1:26" ht="30" customHeight="1" x14ac:dyDescent="0.2">
      <c r="B336" s="321"/>
      <c r="C336" s="93"/>
      <c r="D336" s="93"/>
      <c r="E336" s="93"/>
      <c r="F336" s="93"/>
      <c r="G336" s="93"/>
      <c r="H336" s="93"/>
      <c r="I336" s="93"/>
      <c r="J336" s="344"/>
      <c r="K336" s="344" t="s">
        <v>106291</v>
      </c>
      <c r="L336" s="679" t="s">
        <v>106211</v>
      </c>
      <c r="M336" s="58" t="s">
        <v>409</v>
      </c>
      <c r="N336" s="59">
        <v>44941</v>
      </c>
      <c r="O336" s="59" t="s">
        <v>261</v>
      </c>
      <c r="P336" s="60" t="s">
        <v>234</v>
      </c>
      <c r="Q336" s="60" t="s">
        <v>451</v>
      </c>
      <c r="R336" s="719">
        <f>300000000-640789-5211800-220000000</f>
        <v>74147411</v>
      </c>
      <c r="S336" s="62"/>
      <c r="T336" s="72"/>
      <c r="U336" s="58" t="s">
        <v>106075</v>
      </c>
      <c r="V336" s="58" t="s">
        <v>106261</v>
      </c>
      <c r="W336" s="777">
        <v>70019400</v>
      </c>
      <c r="X336" s="801"/>
      <c r="Y336" s="777">
        <v>56642447</v>
      </c>
      <c r="Z336" s="788">
        <f t="shared" si="6"/>
        <v>-17504964</v>
      </c>
    </row>
    <row r="337" spans="2:27" ht="30" customHeight="1" x14ac:dyDescent="0.2">
      <c r="B337" s="321"/>
      <c r="C337" s="93"/>
      <c r="D337" s="93"/>
      <c r="E337" s="93"/>
      <c r="F337" s="93"/>
      <c r="G337" s="93"/>
      <c r="H337" s="93"/>
      <c r="I337" s="93"/>
      <c r="J337" s="344"/>
      <c r="K337" s="344" t="s">
        <v>106291</v>
      </c>
      <c r="L337" s="679">
        <v>80101500</v>
      </c>
      <c r="M337" s="58" t="s">
        <v>106213</v>
      </c>
      <c r="N337" s="59">
        <v>45111</v>
      </c>
      <c r="O337" s="59" t="s">
        <v>367</v>
      </c>
      <c r="P337" s="60" t="s">
        <v>257</v>
      </c>
      <c r="Q337" s="60" t="s">
        <v>451</v>
      </c>
      <c r="R337" s="719">
        <v>5211800</v>
      </c>
      <c r="S337" s="62"/>
      <c r="T337" s="72"/>
      <c r="U337" s="58" t="s">
        <v>106075</v>
      </c>
      <c r="V337" s="58">
        <v>59423</v>
      </c>
      <c r="W337" s="777">
        <v>5211800</v>
      </c>
      <c r="X337" s="801"/>
      <c r="Y337" s="777">
        <v>5211800</v>
      </c>
      <c r="Z337" s="788">
        <f t="shared" si="6"/>
        <v>0</v>
      </c>
    </row>
    <row r="338" spans="2:27" ht="30" customHeight="1" x14ac:dyDescent="0.2">
      <c r="B338" s="321"/>
      <c r="C338" s="93"/>
      <c r="D338" s="93"/>
      <c r="E338" s="93"/>
      <c r="F338" s="93"/>
      <c r="G338" s="93"/>
      <c r="H338" s="93"/>
      <c r="I338" s="93"/>
      <c r="J338" s="344"/>
      <c r="K338" s="344" t="s">
        <v>106291</v>
      </c>
      <c r="L338" s="679">
        <v>90121600</v>
      </c>
      <c r="M338" s="58" t="s">
        <v>281</v>
      </c>
      <c r="N338" s="59">
        <v>44947</v>
      </c>
      <c r="O338" s="59" t="s">
        <v>261</v>
      </c>
      <c r="P338" s="60" t="s">
        <v>234</v>
      </c>
      <c r="Q338" s="60" t="s">
        <v>231</v>
      </c>
      <c r="R338" s="719">
        <v>20000000</v>
      </c>
      <c r="S338" s="62"/>
      <c r="T338" s="72"/>
      <c r="U338" s="58" t="s">
        <v>106075</v>
      </c>
      <c r="V338" s="58">
        <v>4723</v>
      </c>
      <c r="W338" s="777">
        <v>20000000</v>
      </c>
      <c r="X338" s="801"/>
      <c r="Y338" s="777">
        <v>20000000</v>
      </c>
      <c r="Z338" s="788">
        <f t="shared" si="6"/>
        <v>0</v>
      </c>
    </row>
    <row r="339" spans="2:27" ht="30" customHeight="1" x14ac:dyDescent="0.2">
      <c r="B339" s="321"/>
      <c r="C339" s="93"/>
      <c r="D339" s="93"/>
      <c r="E339" s="93"/>
      <c r="F339" s="93"/>
      <c r="G339" s="93"/>
      <c r="H339" s="93"/>
      <c r="I339" s="93"/>
      <c r="J339" s="344"/>
      <c r="K339" s="344" t="s">
        <v>106291</v>
      </c>
      <c r="L339" s="679">
        <v>90111500</v>
      </c>
      <c r="M339" s="58" t="s">
        <v>225</v>
      </c>
      <c r="N339" s="59">
        <v>44947</v>
      </c>
      <c r="O339" s="59" t="s">
        <v>261</v>
      </c>
      <c r="P339" s="60" t="s">
        <v>234</v>
      </c>
      <c r="Q339" s="60" t="s">
        <v>231</v>
      </c>
      <c r="R339" s="719">
        <v>15000000</v>
      </c>
      <c r="S339" s="62"/>
      <c r="T339" s="72"/>
      <c r="U339" s="58" t="s">
        <v>106075</v>
      </c>
      <c r="V339" s="58">
        <v>18923</v>
      </c>
      <c r="W339" s="777">
        <v>7500000</v>
      </c>
      <c r="X339" s="801"/>
      <c r="Y339" s="777">
        <v>7500000</v>
      </c>
      <c r="Z339" s="788">
        <f t="shared" si="6"/>
        <v>-7500000</v>
      </c>
    </row>
    <row r="340" spans="2:27" ht="30" customHeight="1" x14ac:dyDescent="0.2">
      <c r="B340" s="321"/>
      <c r="C340" s="93"/>
      <c r="D340" s="93"/>
      <c r="E340" s="93"/>
      <c r="F340" s="93"/>
      <c r="G340" s="93"/>
      <c r="H340" s="93"/>
      <c r="I340" s="93"/>
      <c r="J340" s="344"/>
      <c r="K340" s="344" t="s">
        <v>106291</v>
      </c>
      <c r="L340" s="679">
        <v>90111500</v>
      </c>
      <c r="M340" s="58" t="s">
        <v>226</v>
      </c>
      <c r="N340" s="59">
        <v>44947</v>
      </c>
      <c r="O340" s="59" t="s">
        <v>325</v>
      </c>
      <c r="P340" s="60" t="s">
        <v>234</v>
      </c>
      <c r="Q340" s="60" t="s">
        <v>231</v>
      </c>
      <c r="R340" s="719">
        <v>15000000</v>
      </c>
      <c r="S340" s="62"/>
      <c r="T340" s="72"/>
      <c r="U340" s="58" t="s">
        <v>106075</v>
      </c>
      <c r="V340" s="58">
        <v>18923</v>
      </c>
      <c r="W340" s="777">
        <v>7500000</v>
      </c>
      <c r="X340" s="801"/>
      <c r="Y340" s="777">
        <v>6287784</v>
      </c>
      <c r="Z340" s="788">
        <f t="shared" si="6"/>
        <v>-8712216</v>
      </c>
    </row>
    <row r="341" spans="2:27" ht="30" customHeight="1" x14ac:dyDescent="0.2">
      <c r="B341" s="321"/>
      <c r="C341" s="93"/>
      <c r="D341" s="93"/>
      <c r="E341" s="93"/>
      <c r="F341" s="93"/>
      <c r="G341" s="93"/>
      <c r="H341" s="93"/>
      <c r="I341" s="93"/>
      <c r="J341" s="344"/>
      <c r="K341" s="344" t="s">
        <v>106291</v>
      </c>
      <c r="L341" s="679"/>
      <c r="M341" s="58" t="s">
        <v>106191</v>
      </c>
      <c r="N341" s="59" t="s">
        <v>106116</v>
      </c>
      <c r="O341" s="59" t="s">
        <v>259</v>
      </c>
      <c r="P341" s="60" t="s">
        <v>106116</v>
      </c>
      <c r="Q341" s="60" t="s">
        <v>106116</v>
      </c>
      <c r="R341" s="719">
        <v>49738213</v>
      </c>
      <c r="S341" s="62"/>
      <c r="T341" s="72"/>
      <c r="U341" s="58" t="s">
        <v>106075</v>
      </c>
      <c r="V341" s="58">
        <v>26923</v>
      </c>
      <c r="W341" s="777">
        <v>49738213</v>
      </c>
      <c r="X341" s="801"/>
      <c r="Y341" s="777">
        <v>49738213</v>
      </c>
      <c r="Z341" s="788">
        <f t="shared" si="6"/>
        <v>0</v>
      </c>
      <c r="AA341" s="783"/>
    </row>
    <row r="342" spans="2:27" ht="30" customHeight="1" x14ac:dyDescent="0.2">
      <c r="B342" s="183" t="s">
        <v>132</v>
      </c>
      <c r="C342" s="183"/>
      <c r="D342" s="183">
        <v>1599</v>
      </c>
      <c r="E342" s="183"/>
      <c r="F342" s="183"/>
      <c r="G342" s="183"/>
      <c r="H342" s="183"/>
      <c r="I342" s="183"/>
      <c r="J342" s="183"/>
      <c r="K342" s="342"/>
      <c r="L342" s="342"/>
      <c r="M342" s="248" t="s">
        <v>106187</v>
      </c>
      <c r="N342" s="185"/>
      <c r="O342" s="185" t="s">
        <v>106116</v>
      </c>
      <c r="P342" s="186" t="s">
        <v>106116</v>
      </c>
      <c r="Q342" s="186" t="s">
        <v>106116</v>
      </c>
      <c r="R342" s="732">
        <f>+R343</f>
        <v>2488000000</v>
      </c>
      <c r="S342" s="225"/>
      <c r="T342" s="225"/>
      <c r="U342" s="187"/>
      <c r="V342" s="187"/>
      <c r="W342" s="775"/>
      <c r="X342" s="806"/>
      <c r="Y342" s="775"/>
      <c r="Z342" s="787"/>
    </row>
    <row r="343" spans="2:27" ht="16.5" customHeight="1" x14ac:dyDescent="0.2">
      <c r="B343" s="189" t="s">
        <v>132</v>
      </c>
      <c r="C343" s="189"/>
      <c r="D343" s="189">
        <v>1599</v>
      </c>
      <c r="E343" s="189"/>
      <c r="F343" s="189" t="s">
        <v>134</v>
      </c>
      <c r="G343" s="189"/>
      <c r="H343" s="189"/>
      <c r="I343" s="189"/>
      <c r="J343" s="189"/>
      <c r="K343" s="343"/>
      <c r="L343" s="343"/>
      <c r="M343" s="249" t="s">
        <v>137</v>
      </c>
      <c r="N343" s="191"/>
      <c r="O343" s="191" t="s">
        <v>106116</v>
      </c>
      <c r="P343" s="192" t="s">
        <v>106116</v>
      </c>
      <c r="Q343" s="192" t="s">
        <v>106116</v>
      </c>
      <c r="R343" s="733">
        <f>+R344</f>
        <v>2488000000</v>
      </c>
      <c r="S343" s="226"/>
      <c r="T343" s="226"/>
      <c r="U343" s="193"/>
      <c r="V343" s="193"/>
      <c r="W343" s="775"/>
      <c r="X343" s="806"/>
      <c r="Y343" s="775"/>
      <c r="Z343" s="787"/>
    </row>
    <row r="344" spans="2:27" ht="30" customHeight="1" x14ac:dyDescent="0.2">
      <c r="B344" s="39" t="s">
        <v>132</v>
      </c>
      <c r="C344" s="39"/>
      <c r="D344" s="39">
        <v>1599</v>
      </c>
      <c r="E344" s="39"/>
      <c r="F344" s="39" t="s">
        <v>134</v>
      </c>
      <c r="G344" s="39"/>
      <c r="H344" s="39">
        <v>1</v>
      </c>
      <c r="I344" s="39"/>
      <c r="J344" s="39"/>
      <c r="K344" s="329"/>
      <c r="L344" s="329"/>
      <c r="M344" s="233" t="s">
        <v>106184</v>
      </c>
      <c r="N344" s="41"/>
      <c r="O344" s="41" t="s">
        <v>259</v>
      </c>
      <c r="P344" s="42" t="s">
        <v>106116</v>
      </c>
      <c r="Q344" s="42" t="s">
        <v>106116</v>
      </c>
      <c r="R344" s="714">
        <f>+R345</f>
        <v>2488000000</v>
      </c>
      <c r="S344" s="211"/>
      <c r="T344" s="211"/>
      <c r="U344" s="43"/>
      <c r="V344" s="43"/>
      <c r="W344" s="773"/>
      <c r="X344" s="800"/>
      <c r="Y344" s="773"/>
      <c r="Z344" s="787"/>
    </row>
    <row r="345" spans="2:27" ht="15.75" customHeight="1" x14ac:dyDescent="0.2">
      <c r="B345" s="308" t="s">
        <v>7</v>
      </c>
      <c r="C345" s="308" t="s">
        <v>20</v>
      </c>
      <c r="D345" s="308"/>
      <c r="E345" s="308"/>
      <c r="F345" s="308"/>
      <c r="G345" s="308"/>
      <c r="H345" s="308"/>
      <c r="I345" s="308"/>
      <c r="J345" s="308"/>
      <c r="K345" s="326"/>
      <c r="L345" s="326"/>
      <c r="M345" s="315" t="s">
        <v>244</v>
      </c>
      <c r="N345" s="195"/>
      <c r="O345" s="195" t="s">
        <v>106116</v>
      </c>
      <c r="P345" s="196" t="s">
        <v>106116</v>
      </c>
      <c r="Q345" s="196" t="s">
        <v>106116</v>
      </c>
      <c r="R345" s="735">
        <f>SUM(R346:R347)</f>
        <v>2488000000</v>
      </c>
      <c r="S345" s="229"/>
      <c r="T345" s="229"/>
      <c r="U345" s="201"/>
      <c r="V345" s="201"/>
      <c r="W345" s="773"/>
      <c r="X345" s="800"/>
      <c r="Y345" s="773"/>
      <c r="Z345" s="787"/>
    </row>
    <row r="346" spans="2:27" ht="45" customHeight="1" x14ac:dyDescent="0.2">
      <c r="B346" s="321"/>
      <c r="C346" s="93"/>
      <c r="D346" s="93"/>
      <c r="E346" s="93"/>
      <c r="F346" s="93"/>
      <c r="G346" s="93"/>
      <c r="H346" s="93"/>
      <c r="I346" s="93"/>
      <c r="J346" s="344"/>
      <c r="K346" s="344" t="str">
        <f>B344&amp;"-"&amp;D344&amp;"-"&amp;F344&amp;"-"&amp;H344</f>
        <v>C-1599-0100-1</v>
      </c>
      <c r="L346" s="679" t="s">
        <v>223</v>
      </c>
      <c r="M346" s="58" t="s">
        <v>106185</v>
      </c>
      <c r="N346" s="59">
        <v>45061</v>
      </c>
      <c r="O346" s="59" t="s">
        <v>325</v>
      </c>
      <c r="P346" s="60" t="s">
        <v>319</v>
      </c>
      <c r="Q346" s="60" t="s">
        <v>483</v>
      </c>
      <c r="R346" s="719">
        <v>2285770000</v>
      </c>
      <c r="S346" s="62" t="s">
        <v>211</v>
      </c>
      <c r="T346" s="72">
        <v>785770000</v>
      </c>
      <c r="U346" s="58" t="s">
        <v>106075</v>
      </c>
      <c r="V346" s="58"/>
      <c r="W346" s="777"/>
      <c r="X346" s="801"/>
      <c r="Y346" s="777"/>
      <c r="Z346" s="788">
        <f t="shared" si="6"/>
        <v>-2285770000</v>
      </c>
    </row>
    <row r="347" spans="2:27" ht="30" customHeight="1" x14ac:dyDescent="0.2">
      <c r="B347" s="321"/>
      <c r="C347" s="93"/>
      <c r="D347" s="93"/>
      <c r="E347" s="93"/>
      <c r="F347" s="93"/>
      <c r="G347" s="93"/>
      <c r="H347" s="93"/>
      <c r="I347" s="93"/>
      <c r="J347" s="344"/>
      <c r="K347" s="344" t="s">
        <v>106292</v>
      </c>
      <c r="L347" s="679">
        <v>81101500</v>
      </c>
      <c r="M347" s="58" t="s">
        <v>106186</v>
      </c>
      <c r="N347" s="59">
        <v>45061</v>
      </c>
      <c r="O347" s="59" t="s">
        <v>325</v>
      </c>
      <c r="P347" s="60" t="s">
        <v>319</v>
      </c>
      <c r="Q347" s="60" t="s">
        <v>447</v>
      </c>
      <c r="R347" s="719">
        <v>202230000</v>
      </c>
      <c r="S347" s="764" t="s">
        <v>211</v>
      </c>
      <c r="T347" s="72">
        <v>67230000</v>
      </c>
      <c r="U347" s="58" t="s">
        <v>106075</v>
      </c>
      <c r="V347" s="58"/>
      <c r="W347" s="777"/>
      <c r="X347" s="801"/>
      <c r="Y347" s="777"/>
      <c r="Z347" s="788">
        <f t="shared" si="6"/>
        <v>-202230000</v>
      </c>
    </row>
    <row r="348" spans="2:27" x14ac:dyDescent="0.2">
      <c r="W348" s="771"/>
      <c r="Y348" s="771"/>
    </row>
    <row r="349" spans="2:27" x14ac:dyDescent="0.2">
      <c r="W349" s="771"/>
      <c r="Y349" s="771"/>
    </row>
    <row r="350" spans="2:27" x14ac:dyDescent="0.2">
      <c r="W350" s="771"/>
      <c r="Y350" s="771"/>
    </row>
    <row r="351" spans="2:27" x14ac:dyDescent="0.2">
      <c r="W351" s="771"/>
      <c r="Y351" s="771"/>
    </row>
    <row r="352" spans="2:27" x14ac:dyDescent="0.2">
      <c r="W352" s="771"/>
      <c r="Y352" s="771"/>
    </row>
    <row r="353" spans="23:25" x14ac:dyDescent="0.2">
      <c r="W353" s="771"/>
      <c r="Y353" s="771"/>
    </row>
    <row r="354" spans="23:25" x14ac:dyDescent="0.2">
      <c r="W354" s="771"/>
      <c r="Y354" s="771"/>
    </row>
    <row r="355" spans="23:25" x14ac:dyDescent="0.2">
      <c r="W355" s="771"/>
      <c r="Y355" s="771"/>
    </row>
    <row r="356" spans="23:25" x14ac:dyDescent="0.2">
      <c r="W356" s="771"/>
      <c r="Y356" s="771"/>
    </row>
    <row r="357" spans="23:25" x14ac:dyDescent="0.2">
      <c r="W357" s="771"/>
      <c r="Y357" s="771"/>
    </row>
    <row r="358" spans="23:25" x14ac:dyDescent="0.2">
      <c r="W358" s="771"/>
      <c r="Y358" s="771"/>
    </row>
    <row r="359" spans="23:25" x14ac:dyDescent="0.2">
      <c r="W359" s="771"/>
      <c r="Y359" s="771"/>
    </row>
    <row r="360" spans="23:25" x14ac:dyDescent="0.2">
      <c r="W360" s="771"/>
      <c r="Y360" s="771"/>
    </row>
    <row r="361" spans="23:25" x14ac:dyDescent="0.2">
      <c r="W361" s="771"/>
      <c r="Y361" s="771"/>
    </row>
    <row r="362" spans="23:25" x14ac:dyDescent="0.2">
      <c r="W362" s="771"/>
      <c r="Y362" s="771"/>
    </row>
    <row r="363" spans="23:25" x14ac:dyDescent="0.2">
      <c r="W363" s="771"/>
      <c r="Y363" s="771"/>
    </row>
    <row r="364" spans="23:25" x14ac:dyDescent="0.2">
      <c r="W364" s="771"/>
      <c r="Y364" s="771"/>
    </row>
    <row r="365" spans="23:25" x14ac:dyDescent="0.2">
      <c r="W365" s="771"/>
      <c r="Y365" s="771"/>
    </row>
    <row r="366" spans="23:25" x14ac:dyDescent="0.2">
      <c r="W366" s="771"/>
      <c r="Y366" s="771"/>
    </row>
    <row r="367" spans="23:25" x14ac:dyDescent="0.2">
      <c r="W367" s="771"/>
      <c r="Y367" s="771"/>
    </row>
    <row r="368" spans="23:25" x14ac:dyDescent="0.2">
      <c r="W368" s="771"/>
      <c r="Y368" s="771"/>
    </row>
    <row r="369" spans="23:25" x14ac:dyDescent="0.2">
      <c r="W369" s="771"/>
      <c r="Y369" s="771"/>
    </row>
    <row r="370" spans="23:25" x14ac:dyDescent="0.2">
      <c r="W370" s="771"/>
      <c r="Y370" s="771"/>
    </row>
    <row r="371" spans="23:25" x14ac:dyDescent="0.2">
      <c r="W371" s="771"/>
      <c r="Y371" s="771"/>
    </row>
    <row r="372" spans="23:25" x14ac:dyDescent="0.2">
      <c r="W372" s="771"/>
      <c r="Y372" s="771"/>
    </row>
    <row r="373" spans="23:25" x14ac:dyDescent="0.2">
      <c r="W373" s="771"/>
      <c r="Y373" s="771"/>
    </row>
    <row r="374" spans="23:25" x14ac:dyDescent="0.2">
      <c r="W374" s="771"/>
      <c r="Y374" s="771"/>
    </row>
    <row r="375" spans="23:25" x14ac:dyDescent="0.2">
      <c r="W375" s="771"/>
      <c r="Y375" s="771"/>
    </row>
    <row r="376" spans="23:25" x14ac:dyDescent="0.2">
      <c r="W376" s="771"/>
      <c r="Y376" s="771"/>
    </row>
    <row r="377" spans="23:25" x14ac:dyDescent="0.2">
      <c r="W377" s="771"/>
      <c r="Y377" s="771"/>
    </row>
    <row r="378" spans="23:25" x14ac:dyDescent="0.2">
      <c r="W378" s="771"/>
      <c r="Y378" s="771"/>
    </row>
    <row r="379" spans="23:25" x14ac:dyDescent="0.2">
      <c r="W379" s="771"/>
      <c r="Y379" s="771"/>
    </row>
    <row r="380" spans="23:25" x14ac:dyDescent="0.2">
      <c r="W380" s="771"/>
      <c r="Y380" s="771"/>
    </row>
    <row r="381" spans="23:25" x14ac:dyDescent="0.2">
      <c r="W381" s="771"/>
      <c r="Y381" s="771"/>
    </row>
    <row r="382" spans="23:25" x14ac:dyDescent="0.2">
      <c r="W382" s="771"/>
      <c r="Y382" s="771"/>
    </row>
    <row r="383" spans="23:25" x14ac:dyDescent="0.2">
      <c r="W383" s="771"/>
      <c r="Y383" s="771"/>
    </row>
    <row r="384" spans="23:25" x14ac:dyDescent="0.2">
      <c r="W384" s="771"/>
      <c r="Y384" s="771"/>
    </row>
    <row r="385" spans="23:25" x14ac:dyDescent="0.2">
      <c r="W385" s="771"/>
      <c r="Y385" s="771"/>
    </row>
    <row r="386" spans="23:25" x14ac:dyDescent="0.2">
      <c r="W386" s="771"/>
      <c r="Y386" s="771"/>
    </row>
    <row r="387" spans="23:25" x14ac:dyDescent="0.2">
      <c r="W387" s="771"/>
      <c r="Y387" s="771"/>
    </row>
    <row r="388" spans="23:25" x14ac:dyDescent="0.2">
      <c r="W388" s="771"/>
      <c r="Y388" s="771"/>
    </row>
    <row r="389" spans="23:25" x14ac:dyDescent="0.2">
      <c r="W389" s="771"/>
      <c r="Y389" s="771"/>
    </row>
    <row r="390" spans="23:25" x14ac:dyDescent="0.2">
      <c r="W390" s="771"/>
      <c r="Y390" s="771"/>
    </row>
    <row r="391" spans="23:25" x14ac:dyDescent="0.2">
      <c r="W391" s="771"/>
      <c r="Y391" s="771"/>
    </row>
    <row r="392" spans="23:25" x14ac:dyDescent="0.2">
      <c r="W392" s="771"/>
      <c r="Y392" s="771"/>
    </row>
    <row r="393" spans="23:25" x14ac:dyDescent="0.2">
      <c r="W393" s="771"/>
      <c r="Y393" s="771"/>
    </row>
    <row r="394" spans="23:25" x14ac:dyDescent="0.2">
      <c r="W394" s="771"/>
      <c r="Y394" s="771"/>
    </row>
    <row r="395" spans="23:25" x14ac:dyDescent="0.2">
      <c r="W395" s="771"/>
      <c r="Y395" s="771"/>
    </row>
    <row r="396" spans="23:25" x14ac:dyDescent="0.2">
      <c r="W396" s="771"/>
      <c r="Y396" s="771"/>
    </row>
    <row r="397" spans="23:25" x14ac:dyDescent="0.2">
      <c r="W397" s="771"/>
      <c r="Y397" s="771"/>
    </row>
    <row r="398" spans="23:25" x14ac:dyDescent="0.2">
      <c r="W398" s="771"/>
      <c r="Y398" s="771"/>
    </row>
    <row r="399" spans="23:25" x14ac:dyDescent="0.2">
      <c r="W399" s="771"/>
      <c r="Y399" s="771"/>
    </row>
    <row r="400" spans="23:25" x14ac:dyDescent="0.2">
      <c r="W400" s="771"/>
      <c r="Y400" s="771"/>
    </row>
    <row r="401" spans="23:25" x14ac:dyDescent="0.2">
      <c r="W401" s="771"/>
      <c r="Y401" s="771"/>
    </row>
    <row r="402" spans="23:25" x14ac:dyDescent="0.2">
      <c r="W402" s="771"/>
      <c r="Y402" s="771"/>
    </row>
    <row r="403" spans="23:25" x14ac:dyDescent="0.2">
      <c r="W403" s="771"/>
      <c r="Y403" s="771"/>
    </row>
    <row r="404" spans="23:25" x14ac:dyDescent="0.2">
      <c r="W404" s="771"/>
      <c r="Y404" s="771"/>
    </row>
    <row r="405" spans="23:25" x14ac:dyDescent="0.2">
      <c r="W405" s="771"/>
      <c r="Y405" s="771"/>
    </row>
    <row r="406" spans="23:25" x14ac:dyDescent="0.2">
      <c r="W406" s="771"/>
      <c r="Y406" s="771"/>
    </row>
    <row r="407" spans="23:25" x14ac:dyDescent="0.2">
      <c r="W407" s="771"/>
      <c r="Y407" s="771"/>
    </row>
    <row r="408" spans="23:25" x14ac:dyDescent="0.2">
      <c r="W408" s="771"/>
      <c r="Y408" s="771"/>
    </row>
    <row r="409" spans="23:25" x14ac:dyDescent="0.2">
      <c r="W409" s="771"/>
      <c r="Y409" s="771"/>
    </row>
    <row r="410" spans="23:25" x14ac:dyDescent="0.2">
      <c r="W410" s="771"/>
      <c r="Y410" s="771"/>
    </row>
    <row r="411" spans="23:25" x14ac:dyDescent="0.2">
      <c r="W411" s="771"/>
      <c r="Y411" s="771"/>
    </row>
    <row r="412" spans="23:25" x14ac:dyDescent="0.2">
      <c r="W412" s="771"/>
      <c r="Y412" s="771"/>
    </row>
    <row r="413" spans="23:25" x14ac:dyDescent="0.2">
      <c r="W413" s="771"/>
      <c r="Y413" s="771"/>
    </row>
    <row r="414" spans="23:25" x14ac:dyDescent="0.2">
      <c r="W414" s="771"/>
      <c r="Y414" s="771"/>
    </row>
    <row r="415" spans="23:25" x14ac:dyDescent="0.2">
      <c r="W415" s="771"/>
      <c r="Y415" s="771"/>
    </row>
    <row r="416" spans="23:25" x14ac:dyDescent="0.2">
      <c r="W416" s="771"/>
      <c r="Y416" s="771"/>
    </row>
    <row r="417" spans="23:25" x14ac:dyDescent="0.2">
      <c r="W417" s="771"/>
      <c r="Y417" s="771"/>
    </row>
    <row r="418" spans="23:25" x14ac:dyDescent="0.2">
      <c r="W418" s="771"/>
      <c r="Y418" s="771"/>
    </row>
    <row r="419" spans="23:25" x14ac:dyDescent="0.2">
      <c r="W419" s="771"/>
      <c r="Y419" s="771"/>
    </row>
    <row r="420" spans="23:25" x14ac:dyDescent="0.2">
      <c r="W420" s="771"/>
      <c r="Y420" s="771"/>
    </row>
    <row r="421" spans="23:25" x14ac:dyDescent="0.2">
      <c r="W421" s="771"/>
      <c r="Y421" s="771"/>
    </row>
    <row r="422" spans="23:25" x14ac:dyDescent="0.2">
      <c r="W422" s="771"/>
      <c r="Y422" s="771"/>
    </row>
    <row r="423" spans="23:25" x14ac:dyDescent="0.2">
      <c r="W423" s="771"/>
      <c r="Y423" s="771"/>
    </row>
    <row r="424" spans="23:25" x14ac:dyDescent="0.2">
      <c r="W424" s="771"/>
      <c r="Y424" s="771"/>
    </row>
    <row r="425" spans="23:25" x14ac:dyDescent="0.2">
      <c r="W425" s="771"/>
      <c r="Y425" s="771"/>
    </row>
    <row r="426" spans="23:25" x14ac:dyDescent="0.2">
      <c r="W426" s="771"/>
      <c r="Y426" s="771"/>
    </row>
    <row r="427" spans="23:25" x14ac:dyDescent="0.2">
      <c r="W427" s="771"/>
      <c r="Y427" s="771"/>
    </row>
    <row r="428" spans="23:25" x14ac:dyDescent="0.2">
      <c r="W428" s="771"/>
      <c r="Y428" s="771"/>
    </row>
    <row r="429" spans="23:25" x14ac:dyDescent="0.2">
      <c r="W429" s="771"/>
      <c r="Y429" s="771"/>
    </row>
    <row r="430" spans="23:25" x14ac:dyDescent="0.2">
      <c r="W430" s="771"/>
      <c r="Y430" s="771"/>
    </row>
    <row r="431" spans="23:25" x14ac:dyDescent="0.2">
      <c r="W431" s="771"/>
      <c r="Y431" s="771"/>
    </row>
    <row r="432" spans="23:25" x14ac:dyDescent="0.2">
      <c r="W432" s="771"/>
      <c r="Y432" s="771"/>
    </row>
    <row r="433" spans="23:25" x14ac:dyDescent="0.2">
      <c r="W433" s="771"/>
      <c r="Y433" s="771"/>
    </row>
    <row r="434" spans="23:25" x14ac:dyDescent="0.2">
      <c r="W434" s="771"/>
      <c r="Y434" s="771"/>
    </row>
    <row r="435" spans="23:25" x14ac:dyDescent="0.2">
      <c r="W435" s="771"/>
      <c r="Y435" s="771"/>
    </row>
    <row r="436" spans="23:25" x14ac:dyDescent="0.2">
      <c r="W436" s="771"/>
      <c r="Y436" s="771"/>
    </row>
    <row r="437" spans="23:25" x14ac:dyDescent="0.2">
      <c r="W437" s="771"/>
      <c r="Y437" s="771"/>
    </row>
    <row r="438" spans="23:25" x14ac:dyDescent="0.2">
      <c r="W438" s="771"/>
      <c r="Y438" s="771"/>
    </row>
    <row r="439" spans="23:25" x14ac:dyDescent="0.2">
      <c r="W439" s="771"/>
      <c r="Y439" s="771"/>
    </row>
    <row r="440" spans="23:25" x14ac:dyDescent="0.2">
      <c r="W440" s="771"/>
      <c r="Y440" s="771"/>
    </row>
    <row r="441" spans="23:25" x14ac:dyDescent="0.2">
      <c r="W441" s="771"/>
      <c r="Y441" s="771"/>
    </row>
    <row r="442" spans="23:25" x14ac:dyDescent="0.2">
      <c r="W442" s="771"/>
      <c r="Y442" s="771"/>
    </row>
    <row r="443" spans="23:25" x14ac:dyDescent="0.2">
      <c r="W443" s="771"/>
      <c r="Y443" s="771"/>
    </row>
    <row r="444" spans="23:25" x14ac:dyDescent="0.2">
      <c r="W444" s="771"/>
      <c r="Y444" s="771"/>
    </row>
    <row r="445" spans="23:25" x14ac:dyDescent="0.2">
      <c r="W445" s="771"/>
      <c r="Y445" s="771"/>
    </row>
    <row r="446" spans="23:25" x14ac:dyDescent="0.2">
      <c r="W446" s="771"/>
      <c r="Y446" s="771"/>
    </row>
    <row r="447" spans="23:25" x14ac:dyDescent="0.2">
      <c r="W447" s="771"/>
      <c r="Y447" s="771"/>
    </row>
    <row r="448" spans="23:25" x14ac:dyDescent="0.2">
      <c r="W448" s="771"/>
      <c r="Y448" s="771"/>
    </row>
    <row r="449" spans="23:25" x14ac:dyDescent="0.2">
      <c r="W449" s="771"/>
      <c r="Y449" s="771"/>
    </row>
    <row r="450" spans="23:25" x14ac:dyDescent="0.2">
      <c r="W450" s="771"/>
      <c r="Y450" s="771"/>
    </row>
    <row r="451" spans="23:25" x14ac:dyDescent="0.2">
      <c r="W451" s="771"/>
      <c r="Y451" s="771"/>
    </row>
    <row r="452" spans="23:25" x14ac:dyDescent="0.2">
      <c r="W452" s="771"/>
      <c r="Y452" s="771"/>
    </row>
    <row r="453" spans="23:25" x14ac:dyDescent="0.2">
      <c r="W453" s="771"/>
      <c r="Y453" s="771"/>
    </row>
    <row r="454" spans="23:25" x14ac:dyDescent="0.2">
      <c r="W454" s="771"/>
      <c r="Y454" s="771"/>
    </row>
    <row r="455" spans="23:25" x14ac:dyDescent="0.2">
      <c r="W455" s="771"/>
      <c r="Y455" s="771"/>
    </row>
    <row r="456" spans="23:25" x14ac:dyDescent="0.2">
      <c r="W456" s="771"/>
      <c r="Y456" s="771"/>
    </row>
    <row r="457" spans="23:25" x14ac:dyDescent="0.2">
      <c r="W457" s="771"/>
      <c r="Y457" s="771"/>
    </row>
    <row r="458" spans="23:25" x14ac:dyDescent="0.2">
      <c r="W458" s="771"/>
      <c r="Y458" s="771"/>
    </row>
    <row r="459" spans="23:25" x14ac:dyDescent="0.2">
      <c r="W459" s="771"/>
      <c r="Y459" s="771"/>
    </row>
    <row r="460" spans="23:25" x14ac:dyDescent="0.2">
      <c r="W460" s="771"/>
      <c r="Y460" s="771"/>
    </row>
    <row r="461" spans="23:25" x14ac:dyDescent="0.2">
      <c r="W461" s="771"/>
      <c r="Y461" s="771"/>
    </row>
    <row r="462" spans="23:25" x14ac:dyDescent="0.2">
      <c r="W462" s="771"/>
      <c r="Y462" s="771"/>
    </row>
    <row r="463" spans="23:25" x14ac:dyDescent="0.2">
      <c r="W463" s="771"/>
      <c r="Y463" s="771"/>
    </row>
    <row r="464" spans="23:25" x14ac:dyDescent="0.2">
      <c r="W464" s="771"/>
      <c r="Y464" s="771"/>
    </row>
    <row r="465" spans="23:25" x14ac:dyDescent="0.2">
      <c r="W465" s="771"/>
      <c r="Y465" s="771"/>
    </row>
    <row r="466" spans="23:25" x14ac:dyDescent="0.2">
      <c r="W466" s="771"/>
      <c r="Y466" s="771"/>
    </row>
    <row r="467" spans="23:25" x14ac:dyDescent="0.2">
      <c r="W467" s="771"/>
      <c r="Y467" s="771"/>
    </row>
    <row r="468" spans="23:25" x14ac:dyDescent="0.2">
      <c r="W468" s="771"/>
      <c r="Y468" s="771"/>
    </row>
    <row r="469" spans="23:25" x14ac:dyDescent="0.2">
      <c r="W469" s="771"/>
      <c r="Y469" s="771"/>
    </row>
    <row r="470" spans="23:25" x14ac:dyDescent="0.2">
      <c r="W470" s="771"/>
      <c r="Y470" s="771"/>
    </row>
    <row r="471" spans="23:25" x14ac:dyDescent="0.2">
      <c r="W471" s="771"/>
      <c r="Y471" s="771"/>
    </row>
    <row r="472" spans="23:25" x14ac:dyDescent="0.2">
      <c r="W472" s="771"/>
      <c r="Y472" s="771"/>
    </row>
    <row r="473" spans="23:25" x14ac:dyDescent="0.2">
      <c r="W473" s="771"/>
      <c r="Y473" s="771"/>
    </row>
    <row r="474" spans="23:25" x14ac:dyDescent="0.2">
      <c r="W474" s="771"/>
      <c r="Y474" s="771"/>
    </row>
    <row r="475" spans="23:25" x14ac:dyDescent="0.2">
      <c r="W475" s="771"/>
      <c r="Y475" s="771"/>
    </row>
    <row r="476" spans="23:25" x14ac:dyDescent="0.2">
      <c r="W476" s="771"/>
      <c r="Y476" s="771"/>
    </row>
    <row r="477" spans="23:25" x14ac:dyDescent="0.2">
      <c r="W477" s="771"/>
      <c r="Y477" s="771"/>
    </row>
    <row r="478" spans="23:25" x14ac:dyDescent="0.2">
      <c r="W478" s="771"/>
      <c r="Y478" s="771"/>
    </row>
    <row r="479" spans="23:25" x14ac:dyDescent="0.2">
      <c r="W479" s="771"/>
      <c r="Y479" s="771"/>
    </row>
    <row r="480" spans="23:25" x14ac:dyDescent="0.2">
      <c r="W480" s="771"/>
      <c r="Y480" s="771"/>
    </row>
    <row r="481" spans="23:25" x14ac:dyDescent="0.2">
      <c r="W481" s="771"/>
      <c r="Y481" s="771"/>
    </row>
    <row r="482" spans="23:25" x14ac:dyDescent="0.2">
      <c r="W482" s="771"/>
      <c r="Y482" s="771"/>
    </row>
    <row r="483" spans="23:25" x14ac:dyDescent="0.2">
      <c r="W483" s="771"/>
      <c r="Y483" s="771"/>
    </row>
    <row r="484" spans="23:25" x14ac:dyDescent="0.2">
      <c r="W484" s="771"/>
      <c r="Y484" s="771"/>
    </row>
    <row r="485" spans="23:25" x14ac:dyDescent="0.2">
      <c r="W485" s="771"/>
      <c r="Y485" s="771"/>
    </row>
    <row r="486" spans="23:25" x14ac:dyDescent="0.2">
      <c r="W486" s="771"/>
      <c r="Y486" s="771"/>
    </row>
    <row r="487" spans="23:25" x14ac:dyDescent="0.2">
      <c r="W487" s="771"/>
      <c r="Y487" s="771"/>
    </row>
    <row r="488" spans="23:25" x14ac:dyDescent="0.2">
      <c r="W488" s="771"/>
      <c r="Y488" s="771"/>
    </row>
    <row r="489" spans="23:25" x14ac:dyDescent="0.2">
      <c r="W489" s="771"/>
      <c r="Y489" s="771"/>
    </row>
    <row r="490" spans="23:25" x14ac:dyDescent="0.2">
      <c r="W490" s="771"/>
      <c r="Y490" s="771"/>
    </row>
    <row r="491" spans="23:25" x14ac:dyDescent="0.2">
      <c r="W491" s="771"/>
      <c r="Y491" s="771"/>
    </row>
    <row r="492" spans="23:25" x14ac:dyDescent="0.2">
      <c r="W492" s="771"/>
      <c r="Y492" s="771"/>
    </row>
    <row r="493" spans="23:25" x14ac:dyDescent="0.2">
      <c r="W493" s="771"/>
      <c r="Y493" s="771"/>
    </row>
    <row r="494" spans="23:25" x14ac:dyDescent="0.2">
      <c r="W494" s="771"/>
      <c r="Y494" s="771"/>
    </row>
    <row r="495" spans="23:25" x14ac:dyDescent="0.2">
      <c r="W495" s="771"/>
      <c r="Y495" s="771"/>
    </row>
    <row r="496" spans="23:25" x14ac:dyDescent="0.2">
      <c r="W496" s="771"/>
      <c r="Y496" s="771"/>
    </row>
    <row r="497" spans="23:25" x14ac:dyDescent="0.2">
      <c r="W497" s="771"/>
      <c r="Y497" s="771"/>
    </row>
    <row r="498" spans="23:25" x14ac:dyDescent="0.2">
      <c r="W498" s="771"/>
      <c r="Y498" s="771"/>
    </row>
    <row r="499" spans="23:25" x14ac:dyDescent="0.2">
      <c r="W499" s="771"/>
      <c r="Y499" s="771"/>
    </row>
    <row r="500" spans="23:25" x14ac:dyDescent="0.2">
      <c r="W500" s="771"/>
      <c r="Y500" s="771"/>
    </row>
    <row r="501" spans="23:25" x14ac:dyDescent="0.2">
      <c r="W501" s="771"/>
      <c r="Y501" s="771"/>
    </row>
    <row r="502" spans="23:25" x14ac:dyDescent="0.2">
      <c r="W502" s="771"/>
      <c r="Y502" s="771"/>
    </row>
    <row r="503" spans="23:25" x14ac:dyDescent="0.2">
      <c r="W503" s="771"/>
      <c r="Y503" s="771"/>
    </row>
    <row r="504" spans="23:25" x14ac:dyDescent="0.2">
      <c r="W504" s="771"/>
      <c r="Y504" s="771"/>
    </row>
    <row r="505" spans="23:25" x14ac:dyDescent="0.2">
      <c r="W505" s="771"/>
      <c r="Y505" s="771"/>
    </row>
    <row r="506" spans="23:25" x14ac:dyDescent="0.2">
      <c r="W506" s="771"/>
      <c r="Y506" s="771"/>
    </row>
    <row r="507" spans="23:25" x14ac:dyDescent="0.2">
      <c r="W507" s="771"/>
      <c r="Y507" s="771"/>
    </row>
    <row r="508" spans="23:25" x14ac:dyDescent="0.2">
      <c r="W508" s="771"/>
      <c r="Y508" s="771"/>
    </row>
    <row r="509" spans="23:25" x14ac:dyDescent="0.2">
      <c r="W509" s="771"/>
      <c r="Y509" s="771"/>
    </row>
    <row r="510" spans="23:25" x14ac:dyDescent="0.2">
      <c r="W510" s="771"/>
      <c r="Y510" s="771"/>
    </row>
    <row r="511" spans="23:25" x14ac:dyDescent="0.2">
      <c r="W511" s="771"/>
      <c r="Y511" s="771"/>
    </row>
    <row r="512" spans="23:25" x14ac:dyDescent="0.2">
      <c r="W512" s="771"/>
      <c r="Y512" s="771"/>
    </row>
    <row r="513" spans="23:25" x14ac:dyDescent="0.2">
      <c r="W513" s="771"/>
      <c r="Y513" s="771"/>
    </row>
    <row r="514" spans="23:25" x14ac:dyDescent="0.2">
      <c r="W514" s="771"/>
      <c r="Y514" s="771"/>
    </row>
    <row r="515" spans="23:25" x14ac:dyDescent="0.2">
      <c r="W515" s="771"/>
      <c r="Y515" s="771"/>
    </row>
    <row r="516" spans="23:25" x14ac:dyDescent="0.2">
      <c r="W516" s="771"/>
      <c r="Y516" s="771"/>
    </row>
    <row r="517" spans="23:25" x14ac:dyDescent="0.2">
      <c r="W517" s="771"/>
      <c r="Y517" s="771"/>
    </row>
    <row r="518" spans="23:25" x14ac:dyDescent="0.2">
      <c r="W518" s="771"/>
      <c r="Y518" s="771"/>
    </row>
    <row r="519" spans="23:25" x14ac:dyDescent="0.2">
      <c r="W519" s="771"/>
      <c r="Y519" s="771"/>
    </row>
    <row r="520" spans="23:25" x14ac:dyDescent="0.2">
      <c r="W520" s="771"/>
      <c r="Y520" s="771"/>
    </row>
    <row r="521" spans="23:25" x14ac:dyDescent="0.2">
      <c r="W521" s="771"/>
      <c r="Y521" s="771"/>
    </row>
    <row r="522" spans="23:25" x14ac:dyDescent="0.2">
      <c r="W522" s="771"/>
      <c r="Y522" s="771"/>
    </row>
    <row r="523" spans="23:25" x14ac:dyDescent="0.2">
      <c r="W523" s="771"/>
      <c r="Y523" s="771"/>
    </row>
    <row r="524" spans="23:25" x14ac:dyDescent="0.2">
      <c r="W524" s="771"/>
      <c r="Y524" s="771"/>
    </row>
    <row r="525" spans="23:25" x14ac:dyDescent="0.2">
      <c r="W525" s="771"/>
      <c r="Y525" s="771"/>
    </row>
    <row r="526" spans="23:25" x14ac:dyDescent="0.2">
      <c r="W526" s="771"/>
      <c r="Y526" s="771"/>
    </row>
    <row r="527" spans="23:25" x14ac:dyDescent="0.2">
      <c r="W527" s="771"/>
      <c r="Y527" s="771"/>
    </row>
    <row r="528" spans="23:25" x14ac:dyDescent="0.2">
      <c r="W528" s="771"/>
      <c r="Y528" s="771"/>
    </row>
    <row r="529" spans="23:25" x14ac:dyDescent="0.2">
      <c r="W529" s="771"/>
      <c r="Y529" s="771"/>
    </row>
    <row r="530" spans="23:25" x14ac:dyDescent="0.2">
      <c r="W530" s="771"/>
      <c r="Y530" s="771"/>
    </row>
    <row r="531" spans="23:25" x14ac:dyDescent="0.2">
      <c r="W531" s="771"/>
      <c r="Y531" s="771"/>
    </row>
    <row r="532" spans="23:25" x14ac:dyDescent="0.2">
      <c r="W532" s="771"/>
      <c r="Y532" s="771"/>
    </row>
    <row r="533" spans="23:25" x14ac:dyDescent="0.2">
      <c r="W533" s="771"/>
      <c r="Y533" s="771"/>
    </row>
    <row r="534" spans="23:25" x14ac:dyDescent="0.2">
      <c r="W534" s="771"/>
      <c r="Y534" s="771"/>
    </row>
    <row r="535" spans="23:25" x14ac:dyDescent="0.2">
      <c r="W535" s="771"/>
      <c r="Y535" s="771"/>
    </row>
    <row r="536" spans="23:25" x14ac:dyDescent="0.2">
      <c r="W536" s="771"/>
      <c r="Y536" s="771"/>
    </row>
  </sheetData>
  <sheetProtection formatCells="0" formatColumns="0" formatRows="0" insertColumns="0" insertRows="0" insertHyperlinks="0" deleteColumns="0" deleteRows="0" sort="0" autoFilter="0" pivotTables="0"/>
  <autoFilter ref="B6:Z347"/>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U321:U347</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U306:U320</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689" bestFit="1" customWidth="1"/>
    <col min="4" max="9" width="11.5703125" bestFit="1" customWidth="1"/>
    <col min="10" max="12" width="15.5703125" bestFit="1" customWidth="1"/>
  </cols>
  <sheetData>
    <row r="4" spans="2:12" x14ac:dyDescent="0.25">
      <c r="B4" s="693"/>
      <c r="C4" s="694">
        <v>2022</v>
      </c>
      <c r="D4" s="695" t="s">
        <v>106180</v>
      </c>
      <c r="E4" s="695" t="s">
        <v>106177</v>
      </c>
      <c r="F4" s="695" t="s">
        <v>106156</v>
      </c>
      <c r="G4" s="695" t="s">
        <v>106180</v>
      </c>
      <c r="H4" s="695" t="s">
        <v>106177</v>
      </c>
      <c r="I4" s="695" t="s">
        <v>106156</v>
      </c>
      <c r="J4" s="762">
        <v>0.16</v>
      </c>
      <c r="K4" s="762">
        <v>0.15</v>
      </c>
      <c r="L4" s="762">
        <v>0.13</v>
      </c>
    </row>
    <row r="5" spans="2:12" x14ac:dyDescent="0.25">
      <c r="B5" s="692" t="s">
        <v>106152</v>
      </c>
      <c r="C5" s="696">
        <v>5900000</v>
      </c>
      <c r="D5" s="690">
        <f>+C5*13%</f>
        <v>767000</v>
      </c>
      <c r="E5" s="690">
        <f t="shared" ref="E5:E14" si="0">+C5*15%</f>
        <v>885000</v>
      </c>
      <c r="F5" s="690">
        <f>+C5*16%</f>
        <v>944000</v>
      </c>
      <c r="G5" s="691">
        <f>+C5+D5</f>
        <v>6667000</v>
      </c>
      <c r="H5" s="760">
        <f t="shared" ref="H5:H14" si="1">+C5+E5</f>
        <v>6785000</v>
      </c>
      <c r="I5" s="697">
        <f>+C5+F5</f>
        <v>6844000</v>
      </c>
      <c r="J5" s="760">
        <f t="shared" ref="J5:J14" si="2">+I5*11</f>
        <v>75284000</v>
      </c>
      <c r="K5" s="689">
        <f t="shared" ref="K5:K14" si="3">+H5*11</f>
        <v>74635000</v>
      </c>
      <c r="L5" s="689">
        <f t="shared" ref="L5:L14" si="4">+G5*11</f>
        <v>73337000</v>
      </c>
    </row>
    <row r="6" spans="2:12" x14ac:dyDescent="0.25">
      <c r="B6" s="692" t="s">
        <v>106153</v>
      </c>
      <c r="C6" s="696">
        <v>4600000</v>
      </c>
      <c r="D6" s="690">
        <f t="shared" ref="D6:D14" si="5">+C6*13%</f>
        <v>598000</v>
      </c>
      <c r="E6" s="690">
        <f t="shared" si="0"/>
        <v>690000</v>
      </c>
      <c r="F6" s="690">
        <f t="shared" ref="F6:F14" si="6">+C6*16%</f>
        <v>736000</v>
      </c>
      <c r="G6" s="691">
        <f t="shared" ref="G6:G14" si="7">+C6+D6</f>
        <v>5198000</v>
      </c>
      <c r="H6" s="760">
        <f t="shared" si="1"/>
        <v>5290000</v>
      </c>
      <c r="I6" s="697">
        <f t="shared" ref="I6:I13" si="8">+C6+F6</f>
        <v>5336000</v>
      </c>
      <c r="J6" s="760">
        <f t="shared" si="2"/>
        <v>58696000</v>
      </c>
      <c r="K6" s="689">
        <f t="shared" si="3"/>
        <v>58190000</v>
      </c>
      <c r="L6" s="689">
        <f t="shared" si="4"/>
        <v>57178000</v>
      </c>
    </row>
    <row r="7" spans="2:12" x14ac:dyDescent="0.25">
      <c r="B7" s="692" t="s">
        <v>106151</v>
      </c>
      <c r="C7" s="696">
        <v>3300000</v>
      </c>
      <c r="D7" s="690">
        <f t="shared" si="5"/>
        <v>429000</v>
      </c>
      <c r="E7" s="690">
        <f t="shared" si="0"/>
        <v>495000</v>
      </c>
      <c r="F7" s="690">
        <f t="shared" si="6"/>
        <v>528000</v>
      </c>
      <c r="G7" s="691">
        <f t="shared" si="7"/>
        <v>3729000</v>
      </c>
      <c r="H7" s="760">
        <f t="shared" si="1"/>
        <v>3795000</v>
      </c>
      <c r="I7" s="697">
        <f t="shared" si="8"/>
        <v>3828000</v>
      </c>
      <c r="J7" s="760">
        <f t="shared" si="2"/>
        <v>42108000</v>
      </c>
      <c r="K7" s="689">
        <f t="shared" si="3"/>
        <v>41745000</v>
      </c>
      <c r="L7" s="689">
        <f t="shared" si="4"/>
        <v>41019000</v>
      </c>
    </row>
    <row r="8" spans="2:12" x14ac:dyDescent="0.25">
      <c r="B8" s="692" t="s">
        <v>106154</v>
      </c>
      <c r="C8" s="696">
        <v>2600000</v>
      </c>
      <c r="D8" s="690">
        <f t="shared" si="5"/>
        <v>338000</v>
      </c>
      <c r="E8" s="690">
        <f t="shared" si="0"/>
        <v>390000</v>
      </c>
      <c r="F8" s="690">
        <f t="shared" si="6"/>
        <v>416000</v>
      </c>
      <c r="G8" s="691">
        <f t="shared" si="7"/>
        <v>2938000</v>
      </c>
      <c r="H8" s="760">
        <f t="shared" si="1"/>
        <v>2990000</v>
      </c>
      <c r="I8" s="697">
        <f t="shared" si="8"/>
        <v>3016000</v>
      </c>
      <c r="J8" s="760">
        <f t="shared" si="2"/>
        <v>33176000</v>
      </c>
      <c r="K8" s="689">
        <f t="shared" si="3"/>
        <v>32890000</v>
      </c>
      <c r="L8" s="689">
        <f t="shared" si="4"/>
        <v>32318000</v>
      </c>
    </row>
    <row r="9" spans="2:12" x14ac:dyDescent="0.25">
      <c r="B9" s="692" t="s">
        <v>106157</v>
      </c>
      <c r="C9" s="696">
        <v>2100000</v>
      </c>
      <c r="D9" s="690">
        <f t="shared" si="5"/>
        <v>273000</v>
      </c>
      <c r="E9" s="690">
        <f t="shared" si="0"/>
        <v>315000</v>
      </c>
      <c r="F9" s="690">
        <f t="shared" si="6"/>
        <v>336000</v>
      </c>
      <c r="G9" s="691">
        <f t="shared" si="7"/>
        <v>2373000</v>
      </c>
      <c r="H9" s="760">
        <f t="shared" si="1"/>
        <v>2415000</v>
      </c>
      <c r="I9" s="697">
        <f t="shared" si="8"/>
        <v>2436000</v>
      </c>
      <c r="J9" s="760">
        <f t="shared" si="2"/>
        <v>26796000</v>
      </c>
      <c r="K9" s="689">
        <f t="shared" si="3"/>
        <v>26565000</v>
      </c>
      <c r="L9" s="689">
        <f t="shared" si="4"/>
        <v>26103000</v>
      </c>
    </row>
    <row r="10" spans="2:12" x14ac:dyDescent="0.25">
      <c r="B10" s="692" t="s">
        <v>106155</v>
      </c>
      <c r="C10" s="696">
        <v>1400000</v>
      </c>
      <c r="D10" s="690">
        <f t="shared" si="5"/>
        <v>182000</v>
      </c>
      <c r="E10" s="690">
        <f t="shared" si="0"/>
        <v>210000</v>
      </c>
      <c r="F10" s="690">
        <f t="shared" si="6"/>
        <v>224000</v>
      </c>
      <c r="G10" s="691">
        <f t="shared" si="7"/>
        <v>1582000</v>
      </c>
      <c r="H10" s="760">
        <f t="shared" si="1"/>
        <v>1610000</v>
      </c>
      <c r="I10" s="697">
        <f t="shared" si="8"/>
        <v>1624000</v>
      </c>
      <c r="J10" s="760">
        <f t="shared" si="2"/>
        <v>17864000</v>
      </c>
      <c r="K10" s="689">
        <f t="shared" si="3"/>
        <v>17710000</v>
      </c>
      <c r="L10" s="689">
        <f t="shared" si="4"/>
        <v>17402000</v>
      </c>
    </row>
    <row r="11" spans="2:12" x14ac:dyDescent="0.25">
      <c r="B11" s="692" t="s">
        <v>106160</v>
      </c>
      <c r="C11" s="700">
        <v>2400000</v>
      </c>
      <c r="D11" s="690">
        <f t="shared" si="5"/>
        <v>312000</v>
      </c>
      <c r="E11" s="690">
        <f t="shared" si="0"/>
        <v>360000</v>
      </c>
      <c r="F11" s="699">
        <f t="shared" si="6"/>
        <v>384000</v>
      </c>
      <c r="G11" s="691">
        <f t="shared" si="7"/>
        <v>2712000</v>
      </c>
      <c r="H11" s="760">
        <f t="shared" si="1"/>
        <v>2760000</v>
      </c>
      <c r="I11" s="697">
        <v>2600000</v>
      </c>
      <c r="J11" s="760">
        <f t="shared" si="2"/>
        <v>28600000</v>
      </c>
      <c r="K11" s="689">
        <f t="shared" si="3"/>
        <v>30360000</v>
      </c>
      <c r="L11" s="689">
        <f t="shared" si="4"/>
        <v>29832000</v>
      </c>
    </row>
    <row r="12" spans="2:12" x14ac:dyDescent="0.25">
      <c r="B12" s="692" t="s">
        <v>106161</v>
      </c>
      <c r="C12" s="700">
        <v>2400000</v>
      </c>
      <c r="D12" s="690">
        <f t="shared" si="5"/>
        <v>312000</v>
      </c>
      <c r="E12" s="690">
        <f t="shared" si="0"/>
        <v>360000</v>
      </c>
      <c r="F12" s="699">
        <f t="shared" si="6"/>
        <v>384000</v>
      </c>
      <c r="G12" s="691">
        <f t="shared" si="7"/>
        <v>2712000</v>
      </c>
      <c r="H12" s="760">
        <f t="shared" si="1"/>
        <v>2760000</v>
      </c>
      <c r="I12" s="697">
        <f t="shared" si="8"/>
        <v>2784000</v>
      </c>
      <c r="J12" s="760">
        <f t="shared" si="2"/>
        <v>30624000</v>
      </c>
      <c r="K12" s="689">
        <f t="shared" si="3"/>
        <v>30360000</v>
      </c>
      <c r="L12" s="689">
        <f t="shared" si="4"/>
        <v>29832000</v>
      </c>
    </row>
    <row r="13" spans="2:12" x14ac:dyDescent="0.25">
      <c r="B13" s="692" t="s">
        <v>106162</v>
      </c>
      <c r="C13" s="700">
        <v>1800000</v>
      </c>
      <c r="D13" s="690">
        <f t="shared" si="5"/>
        <v>234000</v>
      </c>
      <c r="E13" s="690">
        <f t="shared" si="0"/>
        <v>270000</v>
      </c>
      <c r="F13" s="699">
        <f t="shared" si="6"/>
        <v>288000</v>
      </c>
      <c r="G13" s="691">
        <f t="shared" si="7"/>
        <v>2034000</v>
      </c>
      <c r="H13" s="760">
        <f t="shared" si="1"/>
        <v>2070000</v>
      </c>
      <c r="I13" s="697">
        <f t="shared" si="8"/>
        <v>2088000</v>
      </c>
      <c r="J13" s="760">
        <f t="shared" si="2"/>
        <v>22968000</v>
      </c>
      <c r="K13" s="689">
        <f t="shared" si="3"/>
        <v>22770000</v>
      </c>
      <c r="L13" s="689">
        <f t="shared" si="4"/>
        <v>22374000</v>
      </c>
    </row>
    <row r="14" spans="2:12" x14ac:dyDescent="0.25">
      <c r="B14" s="692" t="s">
        <v>106162</v>
      </c>
      <c r="C14" s="700">
        <v>1800000</v>
      </c>
      <c r="D14" s="690">
        <f t="shared" si="5"/>
        <v>234000</v>
      </c>
      <c r="E14" s="690">
        <f t="shared" si="0"/>
        <v>270000</v>
      </c>
      <c r="F14" s="699">
        <f t="shared" si="6"/>
        <v>288000</v>
      </c>
      <c r="G14" s="691">
        <f t="shared" si="7"/>
        <v>2034000</v>
      </c>
      <c r="H14" s="760">
        <f t="shared" si="1"/>
        <v>2070000</v>
      </c>
      <c r="I14" s="697">
        <v>2000000</v>
      </c>
      <c r="J14" s="760">
        <f t="shared" si="2"/>
        <v>22000000</v>
      </c>
      <c r="K14" s="689">
        <f t="shared" si="3"/>
        <v>22770000</v>
      </c>
      <c r="L14" s="689">
        <f t="shared" si="4"/>
        <v>22374000</v>
      </c>
    </row>
    <row r="15" spans="2:12" x14ac:dyDescent="0.25">
      <c r="J15" s="761"/>
      <c r="K15" s="761"/>
      <c r="L15" s="761"/>
    </row>
    <row r="16" spans="2:12" x14ac:dyDescent="0.25">
      <c r="I16">
        <f>+I6*2</f>
        <v>10672000</v>
      </c>
      <c r="K16" s="763"/>
      <c r="L16" s="76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11"/>
      <c r="C14" s="812"/>
      <c r="D14" s="812"/>
      <c r="E14" s="812"/>
      <c r="F14" s="812"/>
      <c r="G14" s="812"/>
      <c r="H14" s="812"/>
      <c r="I14" s="812"/>
      <c r="J14" s="82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11"/>
      <c r="C18" s="812"/>
      <c r="D18" s="812"/>
      <c r="E18" s="812"/>
      <c r="F18" s="812"/>
      <c r="G18" s="812"/>
      <c r="H18" s="812"/>
      <c r="I18" s="812"/>
      <c r="J18" s="82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9"/>
      <c r="C21" s="820"/>
      <c r="D21" s="820"/>
      <c r="E21" s="820"/>
      <c r="F21" s="820"/>
      <c r="G21" s="820"/>
      <c r="H21" s="820"/>
      <c r="I21" s="820"/>
      <c r="J21" s="821"/>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9"/>
      <c r="C24" s="820"/>
      <c r="D24" s="820"/>
      <c r="E24" s="820"/>
      <c r="F24" s="820"/>
      <c r="G24" s="820"/>
      <c r="H24" s="820"/>
      <c r="I24" s="820"/>
      <c r="J24" s="821"/>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9"/>
      <c r="C30" s="820"/>
      <c r="D30" s="820"/>
      <c r="E30" s="820"/>
      <c r="F30" s="820"/>
      <c r="G30" s="820"/>
      <c r="H30" s="820"/>
      <c r="I30" s="820"/>
      <c r="J30" s="821"/>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11"/>
      <c r="C36" s="812"/>
      <c r="D36" s="812"/>
      <c r="E36" s="812"/>
      <c r="F36" s="812"/>
      <c r="G36" s="812"/>
      <c r="H36" s="812"/>
      <c r="I36" s="812"/>
      <c r="J36" s="812"/>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11"/>
      <c r="C40" s="812"/>
      <c r="D40" s="812"/>
      <c r="E40" s="812"/>
      <c r="F40" s="812"/>
      <c r="G40" s="812"/>
      <c r="H40" s="812"/>
      <c r="I40" s="812"/>
      <c r="J40" s="812"/>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11"/>
      <c r="C42" s="812"/>
      <c r="D42" s="812"/>
      <c r="E42" s="812"/>
      <c r="F42" s="812"/>
      <c r="G42" s="812"/>
      <c r="H42" s="812"/>
      <c r="I42" s="812"/>
      <c r="J42" s="812"/>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11"/>
      <c r="C44" s="812"/>
      <c r="D44" s="812"/>
      <c r="E44" s="812"/>
      <c r="F44" s="812"/>
      <c r="G44" s="812"/>
      <c r="H44" s="812"/>
      <c r="I44" s="812"/>
      <c r="J44" s="812"/>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9"/>
      <c r="C45" s="810"/>
      <c r="D45" s="810"/>
      <c r="E45" s="810"/>
      <c r="F45" s="810"/>
      <c r="G45" s="810"/>
      <c r="H45" s="810"/>
      <c r="I45" s="810"/>
      <c r="J45" s="810"/>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11"/>
      <c r="C48" s="812"/>
      <c r="D48" s="812"/>
      <c r="E48" s="812"/>
      <c r="F48" s="812"/>
      <c r="G48" s="812"/>
      <c r="H48" s="812"/>
      <c r="I48" s="812"/>
      <c r="J48" s="812"/>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11"/>
      <c r="C52" s="812"/>
      <c r="D52" s="812"/>
      <c r="E52" s="812"/>
      <c r="F52" s="812"/>
      <c r="G52" s="812"/>
      <c r="H52" s="812"/>
      <c r="I52" s="812"/>
      <c r="J52" s="812"/>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9"/>
      <c r="C54" s="810"/>
      <c r="D54" s="810"/>
      <c r="E54" s="810"/>
      <c r="F54" s="810"/>
      <c r="G54" s="810"/>
      <c r="H54" s="810"/>
      <c r="I54" s="810"/>
      <c r="J54" s="810"/>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11"/>
      <c r="C57" s="812"/>
      <c r="D57" s="812"/>
      <c r="E57" s="812"/>
      <c r="F57" s="812"/>
      <c r="G57" s="812"/>
      <c r="H57" s="812"/>
      <c r="I57" s="812"/>
      <c r="J57" s="812"/>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11"/>
      <c r="C59" s="812"/>
      <c r="D59" s="812"/>
      <c r="E59" s="812"/>
      <c r="F59" s="812"/>
      <c r="G59" s="812"/>
      <c r="H59" s="812"/>
      <c r="I59" s="812"/>
      <c r="J59" s="812"/>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11"/>
      <c r="C62" s="812"/>
      <c r="D62" s="812"/>
      <c r="E62" s="812"/>
      <c r="F62" s="812"/>
      <c r="G62" s="812"/>
      <c r="H62" s="812"/>
      <c r="I62" s="812"/>
      <c r="J62" s="812"/>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11"/>
      <c r="C65" s="812"/>
      <c r="D65" s="812"/>
      <c r="E65" s="812"/>
      <c r="F65" s="812"/>
      <c r="G65" s="812"/>
      <c r="H65" s="812"/>
      <c r="I65" s="812"/>
      <c r="J65" s="812"/>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11"/>
      <c r="C67" s="812"/>
      <c r="D67" s="812"/>
      <c r="E67" s="812"/>
      <c r="F67" s="812"/>
      <c r="G67" s="812"/>
      <c r="H67" s="812"/>
      <c r="I67" s="812"/>
      <c r="J67" s="812"/>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11"/>
      <c r="C70" s="812"/>
      <c r="D70" s="812"/>
      <c r="E70" s="812"/>
      <c r="F70" s="812"/>
      <c r="G70" s="812"/>
      <c r="H70" s="812"/>
      <c r="I70" s="812"/>
      <c r="J70" s="812"/>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11"/>
      <c r="C72" s="812"/>
      <c r="D72" s="812"/>
      <c r="E72" s="812"/>
      <c r="F72" s="812"/>
      <c r="G72" s="812"/>
      <c r="H72" s="812"/>
      <c r="I72" s="812"/>
      <c r="J72" s="812"/>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11"/>
      <c r="C82" s="812"/>
      <c r="D82" s="812"/>
      <c r="E82" s="812"/>
      <c r="F82" s="812"/>
      <c r="G82" s="812"/>
      <c r="H82" s="812"/>
      <c r="I82" s="812"/>
      <c r="J82" s="812"/>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11"/>
      <c r="C85" s="812"/>
      <c r="D85" s="812"/>
      <c r="E85" s="812"/>
      <c r="F85" s="812"/>
      <c r="G85" s="812"/>
      <c r="H85" s="812"/>
      <c r="I85" s="812"/>
      <c r="J85" s="812"/>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11"/>
      <c r="C88" s="812"/>
      <c r="D88" s="812"/>
      <c r="E88" s="812"/>
      <c r="F88" s="812"/>
      <c r="G88" s="812"/>
      <c r="H88" s="812"/>
      <c r="I88" s="812"/>
      <c r="J88" s="812"/>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11"/>
      <c r="C91" s="812"/>
      <c r="D91" s="812"/>
      <c r="E91" s="812"/>
      <c r="F91" s="812"/>
      <c r="G91" s="812"/>
      <c r="H91" s="812"/>
      <c r="I91" s="812"/>
      <c r="J91" s="812"/>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9"/>
      <c r="C92" s="810"/>
      <c r="D92" s="810"/>
      <c r="E92" s="810"/>
      <c r="F92" s="810"/>
      <c r="G92" s="810"/>
      <c r="H92" s="810"/>
      <c r="I92" s="810"/>
      <c r="J92" s="810"/>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9"/>
      <c r="C93" s="810"/>
      <c r="D93" s="810"/>
      <c r="E93" s="810"/>
      <c r="F93" s="810"/>
      <c r="G93" s="810"/>
      <c r="H93" s="810"/>
      <c r="I93" s="810"/>
      <c r="J93" s="810"/>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9"/>
      <c r="C94" s="810"/>
      <c r="D94" s="810"/>
      <c r="E94" s="810"/>
      <c r="F94" s="810"/>
      <c r="G94" s="810"/>
      <c r="H94" s="810"/>
      <c r="I94" s="810"/>
      <c r="J94" s="810"/>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9"/>
      <c r="C95" s="810"/>
      <c r="D95" s="810"/>
      <c r="E95" s="810"/>
      <c r="F95" s="810"/>
      <c r="G95" s="810"/>
      <c r="H95" s="810"/>
      <c r="I95" s="810"/>
      <c r="J95" s="810"/>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11"/>
      <c r="C98" s="812"/>
      <c r="D98" s="812"/>
      <c r="E98" s="812"/>
      <c r="F98" s="812"/>
      <c r="G98" s="812"/>
      <c r="H98" s="812"/>
      <c r="I98" s="812"/>
      <c r="J98" s="812"/>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11"/>
      <c r="C104" s="812"/>
      <c r="D104" s="812"/>
      <c r="E104" s="812"/>
      <c r="F104" s="812"/>
      <c r="G104" s="812"/>
      <c r="H104" s="812"/>
      <c r="I104" s="812"/>
      <c r="J104" s="812"/>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9"/>
      <c r="C105" s="810"/>
      <c r="D105" s="810"/>
      <c r="E105" s="810"/>
      <c r="F105" s="810"/>
      <c r="G105" s="810"/>
      <c r="H105" s="810"/>
      <c r="I105" s="810"/>
      <c r="J105" s="810"/>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9"/>
      <c r="C106" s="810"/>
      <c r="D106" s="810"/>
      <c r="E106" s="810"/>
      <c r="F106" s="810"/>
      <c r="G106" s="810"/>
      <c r="H106" s="810"/>
      <c r="I106" s="810"/>
      <c r="J106" s="810"/>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11"/>
      <c r="C108" s="812"/>
      <c r="D108" s="812"/>
      <c r="E108" s="812"/>
      <c r="F108" s="812"/>
      <c r="G108" s="812"/>
      <c r="H108" s="812"/>
      <c r="I108" s="812"/>
      <c r="J108" s="812"/>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9"/>
      <c r="C109" s="810"/>
      <c r="D109" s="810"/>
      <c r="E109" s="810"/>
      <c r="F109" s="810"/>
      <c r="G109" s="810"/>
      <c r="H109" s="810"/>
      <c r="I109" s="810"/>
      <c r="J109" s="810"/>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11"/>
      <c r="C112" s="812"/>
      <c r="D112" s="812"/>
      <c r="E112" s="812"/>
      <c r="F112" s="812"/>
      <c r="G112" s="812"/>
      <c r="H112" s="812"/>
      <c r="I112" s="812"/>
      <c r="J112" s="812"/>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9"/>
      <c r="C113" s="810"/>
      <c r="D113" s="810"/>
      <c r="E113" s="810"/>
      <c r="F113" s="810"/>
      <c r="G113" s="810"/>
      <c r="H113" s="810"/>
      <c r="I113" s="810"/>
      <c r="J113" s="810"/>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11"/>
      <c r="C119" s="812"/>
      <c r="D119" s="812"/>
      <c r="E119" s="812"/>
      <c r="F119" s="812"/>
      <c r="G119" s="812"/>
      <c r="H119" s="812"/>
      <c r="I119" s="812"/>
      <c r="J119" s="812"/>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11"/>
      <c r="C121" s="812"/>
      <c r="D121" s="812"/>
      <c r="E121" s="812"/>
      <c r="F121" s="812"/>
      <c r="G121" s="812"/>
      <c r="H121" s="812"/>
      <c r="I121" s="812"/>
      <c r="J121" s="812"/>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11"/>
      <c r="C125" s="812"/>
      <c r="D125" s="812"/>
      <c r="E125" s="812"/>
      <c r="F125" s="812"/>
      <c r="G125" s="812"/>
      <c r="H125" s="812"/>
      <c r="I125" s="812"/>
      <c r="J125" s="82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11"/>
      <c r="C132" s="812"/>
      <c r="D132" s="812"/>
      <c r="E132" s="812"/>
      <c r="F132" s="812"/>
      <c r="G132" s="812"/>
      <c r="H132" s="812"/>
      <c r="I132" s="812"/>
      <c r="J132" s="812"/>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9"/>
      <c r="C133" s="810"/>
      <c r="D133" s="810"/>
      <c r="E133" s="810"/>
      <c r="F133" s="810"/>
      <c r="G133" s="810"/>
      <c r="H133" s="810"/>
      <c r="I133" s="810"/>
      <c r="J133" s="810"/>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11"/>
      <c r="C139" s="812"/>
      <c r="D139" s="812"/>
      <c r="E139" s="812"/>
      <c r="F139" s="812"/>
      <c r="G139" s="812"/>
      <c r="H139" s="812"/>
      <c r="I139" s="812"/>
      <c r="J139" s="812"/>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9"/>
      <c r="C141" s="810"/>
      <c r="D141" s="810"/>
      <c r="E141" s="810"/>
      <c r="F141" s="810"/>
      <c r="G141" s="810"/>
      <c r="H141" s="810"/>
      <c r="I141" s="810"/>
      <c r="J141" s="810"/>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9"/>
      <c r="C142" s="810"/>
      <c r="D142" s="810"/>
      <c r="E142" s="810"/>
      <c r="F142" s="810"/>
      <c r="G142" s="810"/>
      <c r="H142" s="810"/>
      <c r="I142" s="810"/>
      <c r="J142" s="810"/>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9"/>
      <c r="C143" s="810"/>
      <c r="D143" s="810"/>
      <c r="E143" s="810"/>
      <c r="F143" s="810"/>
      <c r="G143" s="810"/>
      <c r="H143" s="810"/>
      <c r="I143" s="810"/>
      <c r="J143" s="810"/>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9"/>
      <c r="C144" s="810"/>
      <c r="D144" s="810"/>
      <c r="E144" s="810"/>
      <c r="F144" s="810"/>
      <c r="G144" s="810"/>
      <c r="H144" s="810"/>
      <c r="I144" s="810"/>
      <c r="J144" s="810"/>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9"/>
      <c r="C145" s="810"/>
      <c r="D145" s="810"/>
      <c r="E145" s="810"/>
      <c r="F145" s="810"/>
      <c r="G145" s="810"/>
      <c r="H145" s="810"/>
      <c r="I145" s="810"/>
      <c r="J145" s="810"/>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9"/>
      <c r="C146" s="810"/>
      <c r="D146" s="810"/>
      <c r="E146" s="810"/>
      <c r="F146" s="810"/>
      <c r="G146" s="810"/>
      <c r="H146" s="810"/>
      <c r="I146" s="810"/>
      <c r="J146" s="810"/>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9"/>
      <c r="C147" s="810"/>
      <c r="D147" s="810"/>
      <c r="E147" s="810"/>
      <c r="F147" s="810"/>
      <c r="G147" s="810"/>
      <c r="H147" s="810"/>
      <c r="I147" s="810"/>
      <c r="J147" s="810"/>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9"/>
      <c r="C148" s="810"/>
      <c r="D148" s="810"/>
      <c r="E148" s="810"/>
      <c r="F148" s="810"/>
      <c r="G148" s="810"/>
      <c r="H148" s="810"/>
      <c r="I148" s="810"/>
      <c r="J148" s="810"/>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11"/>
      <c r="C150" s="812"/>
      <c r="D150" s="812"/>
      <c r="E150" s="812"/>
      <c r="F150" s="812"/>
      <c r="G150" s="812"/>
      <c r="H150" s="812"/>
      <c r="I150" s="812"/>
      <c r="J150" s="812"/>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11"/>
      <c r="C153" s="812"/>
      <c r="D153" s="812"/>
      <c r="E153" s="812"/>
      <c r="F153" s="812"/>
      <c r="G153" s="812"/>
      <c r="H153" s="812"/>
      <c r="I153" s="812"/>
      <c r="J153" s="812"/>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9"/>
      <c r="C154" s="810"/>
      <c r="D154" s="810"/>
      <c r="E154" s="810"/>
      <c r="F154" s="810"/>
      <c r="G154" s="810"/>
      <c r="H154" s="810"/>
      <c r="I154" s="810"/>
      <c r="J154" s="810"/>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9"/>
      <c r="C155" s="810"/>
      <c r="D155" s="810"/>
      <c r="E155" s="810"/>
      <c r="F155" s="810"/>
      <c r="G155" s="810"/>
      <c r="H155" s="810"/>
      <c r="I155" s="810"/>
      <c r="J155" s="810"/>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11"/>
      <c r="C157" s="812"/>
      <c r="D157" s="812"/>
      <c r="E157" s="812"/>
      <c r="F157" s="812"/>
      <c r="G157" s="812"/>
      <c r="H157" s="812"/>
      <c r="I157" s="812"/>
      <c r="J157" s="812"/>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9"/>
      <c r="C158" s="810"/>
      <c r="D158" s="810"/>
      <c r="E158" s="810"/>
      <c r="F158" s="810"/>
      <c r="G158" s="810"/>
      <c r="H158" s="810"/>
      <c r="I158" s="810"/>
      <c r="J158" s="810"/>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11"/>
      <c r="C162" s="812"/>
      <c r="D162" s="812"/>
      <c r="E162" s="812"/>
      <c r="F162" s="812"/>
      <c r="G162" s="812"/>
      <c r="H162" s="812"/>
      <c r="I162" s="812"/>
      <c r="J162" s="812"/>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11"/>
      <c r="C164" s="812"/>
      <c r="D164" s="812"/>
      <c r="E164" s="812"/>
      <c r="F164" s="812"/>
      <c r="G164" s="812"/>
      <c r="H164" s="812"/>
      <c r="I164" s="812"/>
      <c r="J164" s="812"/>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9"/>
      <c r="C165" s="810"/>
      <c r="D165" s="810"/>
      <c r="E165" s="810"/>
      <c r="F165" s="810"/>
      <c r="G165" s="810"/>
      <c r="H165" s="810"/>
      <c r="I165" s="810"/>
      <c r="J165" s="810"/>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9"/>
      <c r="C166" s="810"/>
      <c r="D166" s="810"/>
      <c r="E166" s="810"/>
      <c r="F166" s="810"/>
      <c r="G166" s="810"/>
      <c r="H166" s="810"/>
      <c r="I166" s="810"/>
      <c r="J166" s="810"/>
      <c r="K166" s="353"/>
      <c r="L166" s="4" t="s">
        <v>377</v>
      </c>
      <c r="M166" s="2"/>
      <c r="N166" s="2"/>
      <c r="O166" s="3"/>
      <c r="P166" s="3"/>
      <c r="Q166" s="399"/>
      <c r="R166" s="256">
        <v>660000</v>
      </c>
      <c r="S166" s="439">
        <v>600000</v>
      </c>
      <c r="T166" s="439">
        <v>660000</v>
      </c>
      <c r="U166" s="440"/>
      <c r="V166" s="441"/>
      <c r="W166" s="442" t="s">
        <v>166</v>
      </c>
    </row>
    <row r="167" spans="2:23" ht="285" x14ac:dyDescent="0.2">
      <c r="B167" s="809"/>
      <c r="C167" s="810"/>
      <c r="D167" s="810"/>
      <c r="E167" s="810"/>
      <c r="F167" s="810"/>
      <c r="G167" s="810"/>
      <c r="H167" s="810"/>
      <c r="I167" s="810"/>
      <c r="J167" s="810"/>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11"/>
      <c r="C169" s="812"/>
      <c r="D169" s="812"/>
      <c r="E169" s="812"/>
      <c r="F169" s="812"/>
      <c r="G169" s="812"/>
      <c r="H169" s="812"/>
      <c r="I169" s="812"/>
      <c r="J169" s="812"/>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9"/>
      <c r="C174" s="810"/>
      <c r="D174" s="810"/>
      <c r="E174" s="810"/>
      <c r="F174" s="810"/>
      <c r="G174" s="810"/>
      <c r="H174" s="810"/>
      <c r="I174" s="810"/>
      <c r="J174" s="810"/>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11"/>
      <c r="C178" s="812"/>
      <c r="D178" s="812"/>
      <c r="E178" s="812"/>
      <c r="F178" s="812"/>
      <c r="G178" s="812"/>
      <c r="H178" s="812"/>
      <c r="I178" s="812"/>
      <c r="J178" s="812"/>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9"/>
      <c r="C179" s="810"/>
      <c r="D179" s="810"/>
      <c r="E179" s="810"/>
      <c r="F179" s="810"/>
      <c r="G179" s="810"/>
      <c r="H179" s="810"/>
      <c r="I179" s="810"/>
      <c r="J179" s="810"/>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11"/>
      <c r="C182" s="812"/>
      <c r="D182" s="812"/>
      <c r="E182" s="812"/>
      <c r="F182" s="812"/>
      <c r="G182" s="812"/>
      <c r="H182" s="812"/>
      <c r="I182" s="812"/>
      <c r="J182" s="82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11"/>
      <c r="C185" s="812"/>
      <c r="D185" s="812"/>
      <c r="E185" s="812"/>
      <c r="F185" s="812"/>
      <c r="G185" s="812"/>
      <c r="H185" s="812"/>
      <c r="I185" s="812"/>
      <c r="J185" s="812"/>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11"/>
      <c r="C190" s="812"/>
      <c r="D190" s="812"/>
      <c r="E190" s="812"/>
      <c r="F190" s="812"/>
      <c r="G190" s="812"/>
      <c r="H190" s="812"/>
      <c r="I190" s="812"/>
      <c r="J190" s="812"/>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9"/>
      <c r="C192" s="820"/>
      <c r="D192" s="820"/>
      <c r="E192" s="820"/>
      <c r="F192" s="820"/>
      <c r="G192" s="820"/>
      <c r="H192" s="820"/>
      <c r="I192" s="820"/>
      <c r="J192" s="820"/>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11"/>
      <c r="C199" s="812"/>
      <c r="D199" s="812"/>
      <c r="E199" s="812"/>
      <c r="F199" s="812"/>
      <c r="G199" s="812"/>
      <c r="H199" s="812"/>
      <c r="I199" s="812"/>
      <c r="J199" s="812"/>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9"/>
      <c r="C203" s="820"/>
      <c r="D203" s="820"/>
      <c r="E203" s="820"/>
      <c r="F203" s="820"/>
      <c r="G203" s="820"/>
      <c r="H203" s="820"/>
      <c r="I203" s="820"/>
      <c r="J203" s="821"/>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9"/>
      <c r="C206" s="820"/>
      <c r="D206" s="820"/>
      <c r="E206" s="820"/>
      <c r="F206" s="820"/>
      <c r="G206" s="820"/>
      <c r="H206" s="820"/>
      <c r="I206" s="820"/>
      <c r="J206" s="821"/>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9"/>
      <c r="C213" s="820"/>
      <c r="D213" s="820"/>
      <c r="E213" s="820"/>
      <c r="F213" s="820"/>
      <c r="G213" s="820"/>
      <c r="H213" s="820"/>
      <c r="I213" s="820"/>
      <c r="J213" s="821"/>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11"/>
      <c r="C218" s="812"/>
      <c r="D218" s="812"/>
      <c r="E218" s="812"/>
      <c r="F218" s="812"/>
      <c r="G218" s="812"/>
      <c r="H218" s="812"/>
      <c r="I218" s="812"/>
      <c r="J218" s="812"/>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9"/>
      <c r="C219" s="810"/>
      <c r="D219" s="810"/>
      <c r="E219" s="810"/>
      <c r="F219" s="810"/>
      <c r="G219" s="810"/>
      <c r="H219" s="810"/>
      <c r="I219" s="810"/>
      <c r="J219" s="810"/>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9"/>
      <c r="C220" s="810"/>
      <c r="D220" s="810"/>
      <c r="E220" s="810"/>
      <c r="F220" s="810"/>
      <c r="G220" s="810"/>
      <c r="H220" s="810"/>
      <c r="I220" s="810"/>
      <c r="J220" s="810"/>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9"/>
      <c r="C221" s="810"/>
      <c r="D221" s="810"/>
      <c r="E221" s="810"/>
      <c r="F221" s="810"/>
      <c r="G221" s="810"/>
      <c r="H221" s="810"/>
      <c r="I221" s="810"/>
      <c r="J221" s="810"/>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9"/>
      <c r="C222" s="810"/>
      <c r="D222" s="810"/>
      <c r="E222" s="810"/>
      <c r="F222" s="810"/>
      <c r="G222" s="810"/>
      <c r="H222" s="810"/>
      <c r="I222" s="810"/>
      <c r="J222" s="810"/>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9"/>
      <c r="C223" s="810"/>
      <c r="D223" s="810"/>
      <c r="E223" s="810"/>
      <c r="F223" s="810"/>
      <c r="G223" s="810"/>
      <c r="H223" s="810"/>
      <c r="I223" s="810"/>
      <c r="J223" s="810"/>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9"/>
      <c r="C224" s="810"/>
      <c r="D224" s="810"/>
      <c r="E224" s="810"/>
      <c r="F224" s="810"/>
      <c r="G224" s="810"/>
      <c r="H224" s="810"/>
      <c r="I224" s="810"/>
      <c r="J224" s="810"/>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9"/>
      <c r="C225" s="810"/>
      <c r="D225" s="810"/>
      <c r="E225" s="810"/>
      <c r="F225" s="810"/>
      <c r="G225" s="810"/>
      <c r="H225" s="810"/>
      <c r="I225" s="810"/>
      <c r="J225" s="810"/>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9"/>
      <c r="C226" s="810"/>
      <c r="D226" s="810"/>
      <c r="E226" s="810"/>
      <c r="F226" s="810"/>
      <c r="G226" s="810"/>
      <c r="H226" s="810"/>
      <c r="I226" s="810"/>
      <c r="J226" s="810"/>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9"/>
      <c r="C227" s="810"/>
      <c r="D227" s="810"/>
      <c r="E227" s="810"/>
      <c r="F227" s="810"/>
      <c r="G227" s="810"/>
      <c r="H227" s="810"/>
      <c r="I227" s="810"/>
      <c r="J227" s="810"/>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9"/>
      <c r="C228" s="810"/>
      <c r="D228" s="810"/>
      <c r="E228" s="810"/>
      <c r="F228" s="810"/>
      <c r="G228" s="810"/>
      <c r="H228" s="810"/>
      <c r="I228" s="810"/>
      <c r="J228" s="810"/>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9"/>
      <c r="C229" s="810"/>
      <c r="D229" s="810"/>
      <c r="E229" s="810"/>
      <c r="F229" s="810"/>
      <c r="G229" s="810"/>
      <c r="H229" s="810"/>
      <c r="I229" s="810"/>
      <c r="J229" s="810"/>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9"/>
      <c r="C231" s="810"/>
      <c r="D231" s="810"/>
      <c r="E231" s="810"/>
      <c r="F231" s="810"/>
      <c r="G231" s="810"/>
      <c r="H231" s="810"/>
      <c r="I231" s="810"/>
      <c r="J231" s="810"/>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9"/>
      <c r="C232" s="810"/>
      <c r="D232" s="810"/>
      <c r="E232" s="810"/>
      <c r="F232" s="810"/>
      <c r="G232" s="810"/>
      <c r="H232" s="810"/>
      <c r="I232" s="810"/>
      <c r="J232" s="810"/>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11"/>
      <c r="C234" s="812"/>
      <c r="D234" s="812"/>
      <c r="E234" s="812"/>
      <c r="F234" s="812"/>
      <c r="G234" s="812"/>
      <c r="H234" s="812"/>
      <c r="I234" s="812"/>
      <c r="J234" s="812"/>
      <c r="K234" s="1"/>
      <c r="L234" s="4" t="s">
        <v>297</v>
      </c>
      <c r="M234" s="2"/>
      <c r="N234" s="2"/>
      <c r="O234" s="3"/>
      <c r="P234" s="3"/>
      <c r="Q234" s="399"/>
      <c r="R234" s="256">
        <v>346060000</v>
      </c>
      <c r="S234" s="439">
        <v>314600000</v>
      </c>
      <c r="T234" s="439">
        <v>346060000</v>
      </c>
      <c r="U234" s="440"/>
      <c r="V234" s="441"/>
      <c r="W234" s="442" t="s">
        <v>166</v>
      </c>
    </row>
    <row r="235" spans="2:23" ht="30" x14ac:dyDescent="0.2">
      <c r="B235" s="809"/>
      <c r="C235" s="810"/>
      <c r="D235" s="810"/>
      <c r="E235" s="810"/>
      <c r="F235" s="810"/>
      <c r="G235" s="810"/>
      <c r="H235" s="810"/>
      <c r="I235" s="810"/>
      <c r="J235" s="810"/>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9"/>
      <c r="C236" s="810"/>
      <c r="D236" s="810"/>
      <c r="E236" s="810"/>
      <c r="F236" s="810"/>
      <c r="G236" s="810"/>
      <c r="H236" s="810"/>
      <c r="I236" s="810"/>
      <c r="J236" s="810"/>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11"/>
      <c r="C255" s="812"/>
      <c r="D255" s="812"/>
      <c r="E255" s="812"/>
      <c r="F255" s="812"/>
      <c r="G255" s="812"/>
      <c r="H255" s="812"/>
      <c r="I255" s="812"/>
      <c r="J255" s="812"/>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11"/>
      <c r="C258" s="812"/>
      <c r="D258" s="812"/>
      <c r="E258" s="812"/>
      <c r="F258" s="812"/>
      <c r="G258" s="812"/>
      <c r="H258" s="812"/>
      <c r="I258" s="812"/>
      <c r="J258" s="812"/>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9"/>
      <c r="C265" s="810"/>
      <c r="D265" s="810"/>
      <c r="E265" s="810"/>
      <c r="F265" s="810"/>
      <c r="G265" s="810"/>
      <c r="H265" s="810"/>
      <c r="I265" s="810"/>
      <c r="J265" s="810"/>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17"/>
      <c r="C269" s="818"/>
      <c r="D269" s="818"/>
      <c r="E269" s="818"/>
      <c r="F269" s="818"/>
      <c r="G269" s="818"/>
      <c r="H269" s="818"/>
      <c r="I269" s="818"/>
      <c r="J269" s="81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17"/>
      <c r="C271" s="818"/>
      <c r="D271" s="818"/>
      <c r="E271" s="818"/>
      <c r="F271" s="818"/>
      <c r="G271" s="818"/>
      <c r="H271" s="818"/>
      <c r="I271" s="818"/>
      <c r="J271" s="81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11"/>
      <c r="C276" s="812"/>
      <c r="D276" s="812"/>
      <c r="E276" s="812"/>
      <c r="F276" s="812"/>
      <c r="G276" s="812"/>
      <c r="H276" s="812"/>
      <c r="I276" s="812"/>
      <c r="J276" s="812"/>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11"/>
      <c r="C278" s="812"/>
      <c r="D278" s="812"/>
      <c r="E278" s="812"/>
      <c r="F278" s="812"/>
      <c r="G278" s="812"/>
      <c r="H278" s="812"/>
      <c r="I278" s="812"/>
      <c r="J278" s="812"/>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11"/>
      <c r="C280" s="812"/>
      <c r="D280" s="812"/>
      <c r="E280" s="812"/>
      <c r="F280" s="812"/>
      <c r="G280" s="812"/>
      <c r="H280" s="812"/>
      <c r="I280" s="812"/>
      <c r="J280" s="812"/>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9"/>
      <c r="C291" s="810"/>
      <c r="D291" s="810"/>
      <c r="E291" s="810"/>
      <c r="F291" s="810"/>
      <c r="G291" s="810"/>
      <c r="H291" s="810"/>
      <c r="I291" s="810"/>
      <c r="J291" s="810"/>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9"/>
      <c r="C292" s="810"/>
      <c r="D292" s="810"/>
      <c r="E292" s="810"/>
      <c r="F292" s="810"/>
      <c r="G292" s="810"/>
      <c r="H292" s="810"/>
      <c r="I292" s="810"/>
      <c r="J292" s="810"/>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9"/>
      <c r="C293" s="810"/>
      <c r="D293" s="810"/>
      <c r="E293" s="810"/>
      <c r="F293" s="810"/>
      <c r="G293" s="810"/>
      <c r="H293" s="810"/>
      <c r="I293" s="810"/>
      <c r="J293" s="810"/>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9"/>
      <c r="C294" s="810"/>
      <c r="D294" s="810"/>
      <c r="E294" s="810"/>
      <c r="F294" s="810"/>
      <c r="G294" s="810"/>
      <c r="H294" s="810"/>
      <c r="I294" s="810"/>
      <c r="J294" s="810"/>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9"/>
      <c r="C295" s="810"/>
      <c r="D295" s="810"/>
      <c r="E295" s="810"/>
      <c r="F295" s="810"/>
      <c r="G295" s="810"/>
      <c r="H295" s="810"/>
      <c r="I295" s="810"/>
      <c r="J295" s="810"/>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9"/>
      <c r="C296" s="810"/>
      <c r="D296" s="810"/>
      <c r="E296" s="810"/>
      <c r="F296" s="810"/>
      <c r="G296" s="810"/>
      <c r="H296" s="810"/>
      <c r="I296" s="810"/>
      <c r="J296" s="810"/>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11"/>
      <c r="C299" s="812"/>
      <c r="D299" s="812"/>
      <c r="E299" s="812"/>
      <c r="F299" s="812"/>
      <c r="G299" s="812"/>
      <c r="H299" s="812"/>
      <c r="I299" s="812"/>
      <c r="J299" s="812"/>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9"/>
      <c r="C300" s="810"/>
      <c r="D300" s="810"/>
      <c r="E300" s="810"/>
      <c r="F300" s="810"/>
      <c r="G300" s="810"/>
      <c r="H300" s="810"/>
      <c r="I300" s="810"/>
      <c r="J300" s="810"/>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9"/>
      <c r="C301" s="810"/>
      <c r="D301" s="810"/>
      <c r="E301" s="810"/>
      <c r="F301" s="810"/>
      <c r="G301" s="810"/>
      <c r="H301" s="810"/>
      <c r="I301" s="810"/>
      <c r="J301" s="810"/>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9"/>
      <c r="C302" s="810"/>
      <c r="D302" s="810"/>
      <c r="E302" s="810"/>
      <c r="F302" s="810"/>
      <c r="G302" s="810"/>
      <c r="H302" s="810"/>
      <c r="I302" s="810"/>
      <c r="J302" s="810"/>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9"/>
      <c r="C303" s="810"/>
      <c r="D303" s="810"/>
      <c r="E303" s="810"/>
      <c r="F303" s="810"/>
      <c r="G303" s="810"/>
      <c r="H303" s="810"/>
      <c r="I303" s="810"/>
      <c r="J303" s="810"/>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9"/>
      <c r="C304" s="810"/>
      <c r="D304" s="810"/>
      <c r="E304" s="810"/>
      <c r="F304" s="810"/>
      <c r="G304" s="810"/>
      <c r="H304" s="810"/>
      <c r="I304" s="810"/>
      <c r="J304" s="810"/>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9"/>
      <c r="C305" s="810"/>
      <c r="D305" s="810"/>
      <c r="E305" s="810"/>
      <c r="F305" s="810"/>
      <c r="G305" s="810"/>
      <c r="H305" s="810"/>
      <c r="I305" s="810"/>
      <c r="J305" s="810"/>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9"/>
      <c r="C306" s="810"/>
      <c r="D306" s="810"/>
      <c r="E306" s="810"/>
      <c r="F306" s="810"/>
      <c r="G306" s="810"/>
      <c r="H306" s="810"/>
      <c r="I306" s="810"/>
      <c r="J306" s="810"/>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9"/>
      <c r="C307" s="810"/>
      <c r="D307" s="810"/>
      <c r="E307" s="810"/>
      <c r="F307" s="810"/>
      <c r="G307" s="810"/>
      <c r="H307" s="810"/>
      <c r="I307" s="810"/>
      <c r="J307" s="810"/>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9"/>
      <c r="C308" s="810"/>
      <c r="D308" s="810"/>
      <c r="E308" s="810"/>
      <c r="F308" s="810"/>
      <c r="G308" s="810"/>
      <c r="H308" s="810"/>
      <c r="I308" s="810"/>
      <c r="J308" s="810"/>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9"/>
      <c r="C309" s="810"/>
      <c r="D309" s="810"/>
      <c r="E309" s="810"/>
      <c r="F309" s="810"/>
      <c r="G309" s="810"/>
      <c r="H309" s="810"/>
      <c r="I309" s="810"/>
      <c r="J309" s="810"/>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9"/>
      <c r="C310" s="810"/>
      <c r="D310" s="810"/>
      <c r="E310" s="810"/>
      <c r="F310" s="810"/>
      <c r="G310" s="810"/>
      <c r="H310" s="810"/>
      <c r="I310" s="810"/>
      <c r="J310" s="810"/>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3"/>
      <c r="C311" s="814"/>
      <c r="D311" s="814"/>
      <c r="E311" s="814"/>
      <c r="F311" s="814"/>
      <c r="G311" s="814"/>
      <c r="H311" s="814"/>
      <c r="I311" s="814"/>
      <c r="J311" s="81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5" t="s">
        <v>106089</v>
      </c>
      <c r="C314" s="816"/>
      <c r="D314" s="816"/>
      <c r="E314" s="816"/>
      <c r="F314" s="816"/>
      <c r="G314" s="816"/>
      <c r="H314" s="816"/>
      <c r="I314" s="816"/>
      <c r="J314" s="816"/>
      <c r="K314" s="816"/>
      <c r="L314" s="816"/>
      <c r="M314" s="816"/>
      <c r="N314" s="816"/>
      <c r="O314" s="816"/>
      <c r="P314" s="816"/>
      <c r="Q314" s="816"/>
      <c r="R314" s="816"/>
      <c r="S314" s="816"/>
      <c r="T314" s="81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3"/>
      <c r="C13" s="824"/>
      <c r="D13" s="824"/>
      <c r="E13" s="824"/>
      <c r="F13" s="824"/>
      <c r="G13" s="824"/>
      <c r="H13" s="824"/>
      <c r="I13" s="824"/>
      <c r="J13" s="82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3"/>
      <c r="C19" s="824"/>
      <c r="D19" s="824"/>
      <c r="E19" s="824"/>
      <c r="F19" s="824"/>
      <c r="G19" s="824"/>
      <c r="H19" s="824"/>
      <c r="I19" s="824"/>
      <c r="J19" s="82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3"/>
      <c r="C28" s="824"/>
      <c r="D28" s="824"/>
      <c r="E28" s="824"/>
      <c r="F28" s="824"/>
      <c r="G28" s="824"/>
      <c r="H28" s="824"/>
      <c r="I28" s="824"/>
      <c r="J28" s="82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3" t="s">
        <v>106163</v>
      </c>
      <c r="C34" s="824"/>
      <c r="D34" s="824"/>
      <c r="E34" s="824"/>
      <c r="F34" s="824"/>
      <c r="G34" s="824"/>
      <c r="H34" s="824"/>
      <c r="I34" s="824"/>
      <c r="J34" s="82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3"/>
      <c r="C38" s="824"/>
      <c r="D38" s="824"/>
      <c r="E38" s="824"/>
      <c r="F38" s="824"/>
      <c r="G38" s="824"/>
      <c r="H38" s="824"/>
      <c r="I38" s="824"/>
      <c r="J38" s="82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3"/>
      <c r="C40" s="824"/>
      <c r="D40" s="824"/>
      <c r="E40" s="824"/>
      <c r="F40" s="824"/>
      <c r="G40" s="824"/>
      <c r="H40" s="824"/>
      <c r="I40" s="824"/>
      <c r="J40" s="82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3"/>
      <c r="C42" s="824"/>
      <c r="D42" s="824"/>
      <c r="E42" s="824"/>
      <c r="F42" s="824"/>
      <c r="G42" s="824"/>
      <c r="H42" s="824"/>
      <c r="I42" s="824"/>
      <c r="J42" s="824"/>
      <c r="K42" s="67">
        <v>14121500</v>
      </c>
      <c r="L42" s="58" t="s">
        <v>308</v>
      </c>
      <c r="M42" s="59">
        <v>44607</v>
      </c>
      <c r="N42" s="59" t="s">
        <v>256</v>
      </c>
      <c r="O42" s="60" t="s">
        <v>305</v>
      </c>
      <c r="P42" s="60" t="s">
        <v>219</v>
      </c>
      <c r="Q42" s="61">
        <v>385000</v>
      </c>
      <c r="R42" s="62"/>
      <c r="S42" s="63"/>
      <c r="T42" s="64" t="s">
        <v>303</v>
      </c>
    </row>
    <row r="43" spans="2:20" ht="120" outlineLevel="1" x14ac:dyDescent="0.2">
      <c r="B43" s="829"/>
      <c r="C43" s="830"/>
      <c r="D43" s="830"/>
      <c r="E43" s="830"/>
      <c r="F43" s="830"/>
      <c r="G43" s="830"/>
      <c r="H43" s="830"/>
      <c r="I43" s="830"/>
      <c r="J43" s="83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3"/>
      <c r="C45" s="824"/>
      <c r="D45" s="824"/>
      <c r="E45" s="824"/>
      <c r="F45" s="824"/>
      <c r="G45" s="824"/>
      <c r="H45" s="824"/>
      <c r="I45" s="824"/>
      <c r="J45" s="824"/>
      <c r="K45" s="57" t="s">
        <v>309</v>
      </c>
      <c r="L45" s="58" t="s">
        <v>157</v>
      </c>
      <c r="M45" s="59">
        <v>44635</v>
      </c>
      <c r="N45" s="59" t="s">
        <v>315</v>
      </c>
      <c r="O45" s="60" t="s">
        <v>305</v>
      </c>
      <c r="P45" s="60" t="s">
        <v>426</v>
      </c>
      <c r="Q45" s="61">
        <v>72200000</v>
      </c>
      <c r="R45" s="62"/>
      <c r="S45" s="63"/>
      <c r="T45" s="64" t="s">
        <v>303</v>
      </c>
    </row>
    <row r="46" spans="2:20" ht="120" outlineLevel="1" x14ac:dyDescent="0.2">
      <c r="B46" s="829"/>
      <c r="C46" s="830"/>
      <c r="D46" s="830"/>
      <c r="E46" s="830"/>
      <c r="F46" s="830"/>
      <c r="G46" s="830"/>
      <c r="H46" s="830"/>
      <c r="I46" s="830"/>
      <c r="J46" s="83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3"/>
      <c r="C50" s="824"/>
      <c r="D50" s="824"/>
      <c r="E50" s="824"/>
      <c r="F50" s="824"/>
      <c r="G50" s="824"/>
      <c r="H50" s="824"/>
      <c r="I50" s="824"/>
      <c r="J50" s="824"/>
      <c r="K50" s="57" t="s">
        <v>287</v>
      </c>
      <c r="L50" s="58" t="s">
        <v>165</v>
      </c>
      <c r="M50" s="59">
        <v>44607</v>
      </c>
      <c r="N50" s="59" t="s">
        <v>275</v>
      </c>
      <c r="O50" s="60" t="s">
        <v>288</v>
      </c>
      <c r="P50" s="60" t="s">
        <v>219</v>
      </c>
      <c r="Q50" s="61">
        <v>20000000</v>
      </c>
      <c r="R50" s="62"/>
      <c r="S50" s="63"/>
      <c r="T50" s="64" t="s">
        <v>167</v>
      </c>
    </row>
    <row r="51" spans="2:20" ht="45" outlineLevel="1" x14ac:dyDescent="0.2">
      <c r="B51" s="829"/>
      <c r="C51" s="830"/>
      <c r="D51" s="830"/>
      <c r="E51" s="830"/>
      <c r="F51" s="830"/>
      <c r="G51" s="830"/>
      <c r="H51" s="830"/>
      <c r="I51" s="830"/>
      <c r="J51" s="83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29"/>
      <c r="C53" s="830"/>
      <c r="D53" s="830"/>
      <c r="E53" s="830"/>
      <c r="F53" s="830"/>
      <c r="G53" s="830"/>
      <c r="H53" s="830"/>
      <c r="I53" s="830"/>
      <c r="J53" s="83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3"/>
      <c r="C57" s="824"/>
      <c r="D57" s="824"/>
      <c r="E57" s="824"/>
      <c r="F57" s="824"/>
      <c r="G57" s="824"/>
      <c r="H57" s="824"/>
      <c r="I57" s="824"/>
      <c r="J57" s="82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3"/>
      <c r="C59" s="824"/>
      <c r="D59" s="824"/>
      <c r="E59" s="824"/>
      <c r="F59" s="824"/>
      <c r="G59" s="824"/>
      <c r="H59" s="824"/>
      <c r="I59" s="824"/>
      <c r="J59" s="82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3"/>
      <c r="C62" s="824"/>
      <c r="D62" s="824"/>
      <c r="E62" s="824"/>
      <c r="F62" s="824"/>
      <c r="G62" s="824"/>
      <c r="H62" s="824"/>
      <c r="I62" s="824"/>
      <c r="J62" s="82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3"/>
      <c r="C65" s="824"/>
      <c r="D65" s="824"/>
      <c r="E65" s="824"/>
      <c r="F65" s="824"/>
      <c r="G65" s="824"/>
      <c r="H65" s="824"/>
      <c r="I65" s="824"/>
      <c r="J65" s="82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3"/>
      <c r="C67" s="824"/>
      <c r="D67" s="824"/>
      <c r="E67" s="824"/>
      <c r="F67" s="824"/>
      <c r="G67" s="824"/>
      <c r="H67" s="824"/>
      <c r="I67" s="824"/>
      <c r="J67" s="82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29"/>
      <c r="C72" s="830"/>
      <c r="D72" s="830"/>
      <c r="E72" s="830"/>
      <c r="F72" s="830"/>
      <c r="G72" s="830"/>
      <c r="H72" s="830"/>
      <c r="I72" s="830"/>
      <c r="J72" s="83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3"/>
      <c r="C81" s="824"/>
      <c r="D81" s="824"/>
      <c r="E81" s="824"/>
      <c r="F81" s="824"/>
      <c r="G81" s="824"/>
      <c r="H81" s="824"/>
      <c r="I81" s="824"/>
      <c r="J81" s="82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3"/>
      <c r="C84" s="824"/>
      <c r="D84" s="824"/>
      <c r="E84" s="824"/>
      <c r="F84" s="824"/>
      <c r="G84" s="824"/>
      <c r="H84" s="824"/>
      <c r="I84" s="824"/>
      <c r="J84" s="824"/>
      <c r="K84" s="57" t="s">
        <v>203</v>
      </c>
      <c r="L84" s="58" t="s">
        <v>150</v>
      </c>
      <c r="M84" s="59">
        <v>44814</v>
      </c>
      <c r="N84" s="59" t="s">
        <v>369</v>
      </c>
      <c r="O84" s="60" t="s">
        <v>257</v>
      </c>
      <c r="P84" s="60" t="s">
        <v>210</v>
      </c>
      <c r="Q84" s="61">
        <v>26250000</v>
      </c>
      <c r="R84" s="62" t="s">
        <v>224</v>
      </c>
      <c r="S84" s="63"/>
      <c r="T84" s="64" t="s">
        <v>156</v>
      </c>
    </row>
    <row r="85" spans="2:20" ht="30" outlineLevel="1" x14ac:dyDescent="0.2">
      <c r="B85" s="829"/>
      <c r="C85" s="830"/>
      <c r="D85" s="830"/>
      <c r="E85" s="830"/>
      <c r="F85" s="830"/>
      <c r="G85" s="830"/>
      <c r="H85" s="830"/>
      <c r="I85" s="830"/>
      <c r="J85" s="830"/>
      <c r="K85" s="67">
        <v>43231500</v>
      </c>
      <c r="L85" s="58" t="s">
        <v>151</v>
      </c>
      <c r="M85" s="59">
        <v>44635</v>
      </c>
      <c r="N85" s="59" t="s">
        <v>256</v>
      </c>
      <c r="O85" s="60" t="s">
        <v>257</v>
      </c>
      <c r="P85" s="60" t="s">
        <v>210</v>
      </c>
      <c r="Q85" s="61">
        <v>26250000</v>
      </c>
      <c r="R85" s="62"/>
      <c r="S85" s="63"/>
      <c r="T85" s="64" t="s">
        <v>156</v>
      </c>
    </row>
    <row r="86" spans="2:20" ht="45" outlineLevel="1" x14ac:dyDescent="0.2">
      <c r="B86" s="829"/>
      <c r="C86" s="830"/>
      <c r="D86" s="830"/>
      <c r="E86" s="830"/>
      <c r="F86" s="830"/>
      <c r="G86" s="830"/>
      <c r="H86" s="830"/>
      <c r="I86" s="830"/>
      <c r="J86" s="830"/>
      <c r="K86" s="67">
        <v>43231500</v>
      </c>
      <c r="L86" s="58" t="s">
        <v>168</v>
      </c>
      <c r="M86" s="59">
        <v>44656</v>
      </c>
      <c r="N86" s="59" t="s">
        <v>315</v>
      </c>
      <c r="O86" s="60" t="s">
        <v>257</v>
      </c>
      <c r="P86" s="60" t="s">
        <v>426</v>
      </c>
      <c r="Q86" s="61">
        <v>92613339.069999993</v>
      </c>
      <c r="R86" s="62"/>
      <c r="S86" s="63"/>
      <c r="T86" s="64" t="s">
        <v>156</v>
      </c>
    </row>
    <row r="87" spans="2:20" ht="45" outlineLevel="1" x14ac:dyDescent="0.2">
      <c r="B87" s="829"/>
      <c r="C87" s="830"/>
      <c r="D87" s="830"/>
      <c r="E87" s="830"/>
      <c r="F87" s="830"/>
      <c r="G87" s="830"/>
      <c r="H87" s="830"/>
      <c r="I87" s="830"/>
      <c r="J87" s="830"/>
      <c r="K87" s="67">
        <v>43231500</v>
      </c>
      <c r="L87" s="95" t="s">
        <v>353</v>
      </c>
      <c r="M87" s="59">
        <v>44656</v>
      </c>
      <c r="N87" s="59" t="s">
        <v>315</v>
      </c>
      <c r="O87" s="60" t="s">
        <v>371</v>
      </c>
      <c r="P87" s="60" t="s">
        <v>426</v>
      </c>
      <c r="Q87" s="61">
        <v>20843980</v>
      </c>
      <c r="R87" s="62"/>
      <c r="S87" s="63"/>
      <c r="T87" s="64" t="s">
        <v>156</v>
      </c>
    </row>
    <row r="88" spans="2:20" ht="45" outlineLevel="1" x14ac:dyDescent="0.2">
      <c r="B88" s="829"/>
      <c r="C88" s="830"/>
      <c r="D88" s="830"/>
      <c r="E88" s="830"/>
      <c r="F88" s="830"/>
      <c r="G88" s="830"/>
      <c r="H88" s="830"/>
      <c r="I88" s="830"/>
      <c r="J88" s="83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3"/>
      <c r="C91" s="824"/>
      <c r="D91" s="824"/>
      <c r="E91" s="824"/>
      <c r="F91" s="824"/>
      <c r="G91" s="824"/>
      <c r="H91" s="824"/>
      <c r="I91" s="824"/>
      <c r="J91" s="82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3"/>
      <c r="C97" s="824"/>
      <c r="D97" s="824"/>
      <c r="E97" s="824"/>
      <c r="F97" s="824"/>
      <c r="G97" s="824"/>
      <c r="H97" s="824"/>
      <c r="I97" s="824"/>
      <c r="J97" s="824"/>
      <c r="K97" s="57" t="s">
        <v>235</v>
      </c>
      <c r="L97" s="58" t="s">
        <v>172</v>
      </c>
      <c r="M97" s="59">
        <v>44582</v>
      </c>
      <c r="N97" s="59" t="s">
        <v>259</v>
      </c>
      <c r="O97" s="60" t="s">
        <v>234</v>
      </c>
      <c r="P97" s="60" t="s">
        <v>463</v>
      </c>
      <c r="Q97" s="61">
        <v>38000000</v>
      </c>
      <c r="R97" s="62"/>
      <c r="S97" s="63"/>
      <c r="T97" s="64" t="s">
        <v>274</v>
      </c>
    </row>
    <row r="98" spans="2:20" ht="60" outlineLevel="1" x14ac:dyDescent="0.2">
      <c r="B98" s="829"/>
      <c r="C98" s="830"/>
      <c r="D98" s="830"/>
      <c r="E98" s="830"/>
      <c r="F98" s="830"/>
      <c r="G98" s="830"/>
      <c r="H98" s="830"/>
      <c r="I98" s="830"/>
      <c r="J98" s="830"/>
      <c r="K98" s="57" t="s">
        <v>235</v>
      </c>
      <c r="L98" s="58" t="s">
        <v>173</v>
      </c>
      <c r="M98" s="59">
        <v>44582</v>
      </c>
      <c r="N98" s="59" t="s">
        <v>259</v>
      </c>
      <c r="O98" s="60" t="s">
        <v>234</v>
      </c>
      <c r="P98" s="60" t="s">
        <v>210</v>
      </c>
      <c r="Q98" s="61">
        <v>5500000</v>
      </c>
      <c r="R98" s="62"/>
      <c r="S98" s="63"/>
      <c r="T98" s="64" t="s">
        <v>274</v>
      </c>
    </row>
    <row r="99" spans="2:20" outlineLevel="1" x14ac:dyDescent="0.2">
      <c r="B99" s="829"/>
      <c r="C99" s="830"/>
      <c r="D99" s="830"/>
      <c r="E99" s="830"/>
      <c r="F99" s="830"/>
      <c r="G99" s="830"/>
      <c r="H99" s="830"/>
      <c r="I99" s="830"/>
      <c r="J99" s="83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3"/>
      <c r="C101" s="824"/>
      <c r="D101" s="824"/>
      <c r="E101" s="824"/>
      <c r="F101" s="824"/>
      <c r="G101" s="824"/>
      <c r="H101" s="824"/>
      <c r="I101" s="824"/>
      <c r="J101" s="82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29"/>
      <c r="C102" s="830"/>
      <c r="D102" s="830"/>
      <c r="E102" s="830"/>
      <c r="F102" s="830"/>
      <c r="G102" s="830"/>
      <c r="H102" s="830"/>
      <c r="I102" s="830"/>
      <c r="J102" s="83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3"/>
      <c r="C105" s="824"/>
      <c r="D105" s="824"/>
      <c r="E105" s="824"/>
      <c r="F105" s="824"/>
      <c r="G105" s="824"/>
      <c r="H105" s="824"/>
      <c r="I105" s="824"/>
      <c r="J105" s="82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29"/>
      <c r="C106" s="830"/>
      <c r="D106" s="830"/>
      <c r="E106" s="830"/>
      <c r="F106" s="830"/>
      <c r="G106" s="830"/>
      <c r="H106" s="830"/>
      <c r="I106" s="830"/>
      <c r="J106" s="83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3"/>
      <c r="C112" s="824"/>
      <c r="D112" s="824"/>
      <c r="E112" s="824"/>
      <c r="F112" s="824"/>
      <c r="G112" s="824"/>
      <c r="H112" s="824"/>
      <c r="I112" s="824"/>
      <c r="J112" s="82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3"/>
      <c r="C114" s="824"/>
      <c r="D114" s="824"/>
      <c r="E114" s="824"/>
      <c r="F114" s="824"/>
      <c r="G114" s="824"/>
      <c r="H114" s="824"/>
      <c r="I114" s="824"/>
      <c r="J114" s="82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3"/>
      <c r="C118" s="824"/>
      <c r="D118" s="824"/>
      <c r="E118" s="824"/>
      <c r="F118" s="824"/>
      <c r="G118" s="824"/>
      <c r="H118" s="824"/>
      <c r="I118" s="824"/>
      <c r="J118" s="82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29"/>
      <c r="C119" s="830"/>
      <c r="D119" s="830"/>
      <c r="E119" s="830"/>
      <c r="F119" s="830"/>
      <c r="G119" s="830"/>
      <c r="H119" s="830"/>
      <c r="I119" s="830"/>
      <c r="J119" s="83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3"/>
      <c r="C123" s="824"/>
      <c r="D123" s="824"/>
      <c r="E123" s="824"/>
      <c r="F123" s="824"/>
      <c r="G123" s="824"/>
      <c r="H123" s="824"/>
      <c r="I123" s="824"/>
      <c r="J123" s="82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29"/>
      <c r="C124" s="830"/>
      <c r="D124" s="830"/>
      <c r="E124" s="830"/>
      <c r="F124" s="830"/>
      <c r="G124" s="830"/>
      <c r="H124" s="830"/>
      <c r="I124" s="830"/>
      <c r="J124" s="83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29"/>
      <c r="C125" s="830"/>
      <c r="D125" s="830"/>
      <c r="E125" s="830"/>
      <c r="F125" s="830"/>
      <c r="G125" s="830"/>
      <c r="H125" s="830"/>
      <c r="I125" s="830"/>
      <c r="J125" s="83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29"/>
      <c r="C126" s="830"/>
      <c r="D126" s="830"/>
      <c r="E126" s="830"/>
      <c r="F126" s="830"/>
      <c r="G126" s="830"/>
      <c r="H126" s="830"/>
      <c r="I126" s="830"/>
      <c r="J126" s="83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29"/>
      <c r="C127" s="830"/>
      <c r="D127" s="830"/>
      <c r="E127" s="830"/>
      <c r="F127" s="830"/>
      <c r="G127" s="830"/>
      <c r="H127" s="830"/>
      <c r="I127" s="830"/>
      <c r="J127" s="83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29"/>
      <c r="C128" s="830"/>
      <c r="D128" s="830"/>
      <c r="E128" s="830"/>
      <c r="F128" s="830"/>
      <c r="G128" s="830"/>
      <c r="H128" s="830"/>
      <c r="I128" s="830"/>
      <c r="J128" s="83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3"/>
      <c r="C134" s="824"/>
      <c r="D134" s="824"/>
      <c r="E134" s="824"/>
      <c r="F134" s="824"/>
      <c r="G134" s="824"/>
      <c r="H134" s="824"/>
      <c r="I134" s="824"/>
      <c r="J134" s="82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29"/>
      <c r="C136" s="830"/>
      <c r="D136" s="830"/>
      <c r="E136" s="830"/>
      <c r="F136" s="830"/>
      <c r="G136" s="830"/>
      <c r="H136" s="830"/>
      <c r="I136" s="830"/>
      <c r="J136" s="83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29"/>
      <c r="C137" s="830"/>
      <c r="D137" s="830"/>
      <c r="E137" s="830"/>
      <c r="F137" s="830"/>
      <c r="G137" s="830"/>
      <c r="H137" s="830"/>
      <c r="I137" s="830"/>
      <c r="J137" s="83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29"/>
      <c r="C138" s="830"/>
      <c r="D138" s="830"/>
      <c r="E138" s="830"/>
      <c r="F138" s="830"/>
      <c r="G138" s="830"/>
      <c r="H138" s="830"/>
      <c r="I138" s="830"/>
      <c r="J138" s="83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29"/>
      <c r="C139" s="830"/>
      <c r="D139" s="830"/>
      <c r="E139" s="830"/>
      <c r="F139" s="830"/>
      <c r="G139" s="830"/>
      <c r="H139" s="830"/>
      <c r="I139" s="830"/>
      <c r="J139" s="83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29"/>
      <c r="C140" s="830"/>
      <c r="D140" s="830"/>
      <c r="E140" s="830"/>
      <c r="F140" s="830"/>
      <c r="G140" s="830"/>
      <c r="H140" s="830"/>
      <c r="I140" s="830"/>
      <c r="J140" s="83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29"/>
      <c r="C141" s="830"/>
      <c r="D141" s="830"/>
      <c r="E141" s="830"/>
      <c r="F141" s="830"/>
      <c r="G141" s="830"/>
      <c r="H141" s="830"/>
      <c r="I141" s="830"/>
      <c r="J141" s="83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29"/>
      <c r="C142" s="830"/>
      <c r="D142" s="830"/>
      <c r="E142" s="830"/>
      <c r="F142" s="830"/>
      <c r="G142" s="830"/>
      <c r="H142" s="830"/>
      <c r="I142" s="830"/>
      <c r="J142" s="83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29"/>
      <c r="C143" s="830"/>
      <c r="D143" s="830"/>
      <c r="E143" s="830"/>
      <c r="F143" s="830"/>
      <c r="G143" s="830"/>
      <c r="H143" s="830"/>
      <c r="I143" s="830"/>
      <c r="J143" s="83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29"/>
      <c r="C144" s="830"/>
      <c r="D144" s="830"/>
      <c r="E144" s="830"/>
      <c r="F144" s="830"/>
      <c r="G144" s="830"/>
      <c r="H144" s="830"/>
      <c r="I144" s="830"/>
      <c r="J144" s="830"/>
      <c r="K144" s="67">
        <v>80111600</v>
      </c>
      <c r="L144" s="100" t="s">
        <v>496</v>
      </c>
      <c r="M144" s="59" t="s">
        <v>497</v>
      </c>
      <c r="N144" s="59" t="s">
        <v>372</v>
      </c>
      <c r="O144" s="60" t="s">
        <v>371</v>
      </c>
      <c r="P144" s="60" t="s">
        <v>221</v>
      </c>
      <c r="Q144" s="61">
        <v>6300000</v>
      </c>
      <c r="R144" s="62"/>
      <c r="S144" s="72"/>
      <c r="T144" s="64"/>
    </row>
    <row r="145" spans="2:20" ht="60" outlineLevel="1" x14ac:dyDescent="0.2">
      <c r="B145" s="829"/>
      <c r="C145" s="830"/>
      <c r="D145" s="830"/>
      <c r="E145" s="830"/>
      <c r="F145" s="830"/>
      <c r="G145" s="830"/>
      <c r="H145" s="830"/>
      <c r="I145" s="830"/>
      <c r="J145" s="83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3"/>
      <c r="C148" s="824"/>
      <c r="D148" s="824"/>
      <c r="E148" s="824"/>
      <c r="F148" s="824"/>
      <c r="G148" s="824"/>
      <c r="H148" s="824"/>
      <c r="I148" s="824"/>
      <c r="J148" s="824"/>
      <c r="K148" s="67"/>
      <c r="L148" s="58" t="s">
        <v>182</v>
      </c>
      <c r="M148" s="59">
        <v>44563</v>
      </c>
      <c r="N148" s="59" t="s">
        <v>261</v>
      </c>
      <c r="O148" s="60" t="s">
        <v>202</v>
      </c>
      <c r="P148" s="60" t="s">
        <v>231</v>
      </c>
      <c r="Q148" s="61">
        <v>22000000</v>
      </c>
      <c r="R148" s="62"/>
      <c r="S148" s="97"/>
      <c r="T148" s="64" t="s">
        <v>188</v>
      </c>
    </row>
    <row r="149" spans="2:20" ht="30" outlineLevel="1" x14ac:dyDescent="0.2">
      <c r="B149" s="829"/>
      <c r="C149" s="830"/>
      <c r="D149" s="830"/>
      <c r="E149" s="830"/>
      <c r="F149" s="830"/>
      <c r="G149" s="830"/>
      <c r="H149" s="830"/>
      <c r="I149" s="830"/>
      <c r="J149" s="83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29"/>
      <c r="C150" s="830"/>
      <c r="D150" s="830"/>
      <c r="E150" s="830"/>
      <c r="F150" s="830"/>
      <c r="G150" s="830"/>
      <c r="H150" s="830"/>
      <c r="I150" s="830"/>
      <c r="J150" s="83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3"/>
      <c r="C152" s="824"/>
      <c r="D152" s="824"/>
      <c r="E152" s="824"/>
      <c r="F152" s="824"/>
      <c r="G152" s="824"/>
      <c r="H152" s="824"/>
      <c r="I152" s="824"/>
      <c r="J152" s="82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29"/>
      <c r="C153" s="830"/>
      <c r="D153" s="830"/>
      <c r="E153" s="830"/>
      <c r="F153" s="830"/>
      <c r="G153" s="830"/>
      <c r="H153" s="830"/>
      <c r="I153" s="830"/>
      <c r="J153" s="83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3"/>
      <c r="C157" s="824"/>
      <c r="D157" s="824"/>
      <c r="E157" s="824"/>
      <c r="F157" s="824"/>
      <c r="G157" s="824"/>
      <c r="H157" s="824"/>
      <c r="I157" s="824"/>
      <c r="J157" s="82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3"/>
      <c r="C159" s="824"/>
      <c r="D159" s="824"/>
      <c r="E159" s="824"/>
      <c r="F159" s="824"/>
      <c r="G159" s="824"/>
      <c r="H159" s="824"/>
      <c r="I159" s="824"/>
      <c r="J159" s="82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29"/>
      <c r="C160" s="830"/>
      <c r="D160" s="830"/>
      <c r="E160" s="830"/>
      <c r="F160" s="830"/>
      <c r="G160" s="830"/>
      <c r="H160" s="830"/>
      <c r="I160" s="830"/>
      <c r="J160" s="83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29"/>
      <c r="C161" s="830"/>
      <c r="D161" s="830"/>
      <c r="E161" s="830"/>
      <c r="F161" s="830"/>
      <c r="G161" s="830"/>
      <c r="H161" s="830"/>
      <c r="I161" s="830"/>
      <c r="J161" s="83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29"/>
      <c r="C162" s="830"/>
      <c r="D162" s="830"/>
      <c r="E162" s="830"/>
      <c r="F162" s="830"/>
      <c r="G162" s="830"/>
      <c r="H162" s="830"/>
      <c r="I162" s="830"/>
      <c r="J162" s="83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3"/>
      <c r="C164" s="824"/>
      <c r="D164" s="824"/>
      <c r="E164" s="824"/>
      <c r="F164" s="824"/>
      <c r="G164" s="824"/>
      <c r="H164" s="824"/>
      <c r="I164" s="824"/>
      <c r="J164" s="82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29"/>
      <c r="C169" s="830"/>
      <c r="D169" s="830"/>
      <c r="E169" s="830"/>
      <c r="F169" s="830"/>
      <c r="G169" s="830"/>
      <c r="H169" s="830"/>
      <c r="I169" s="830"/>
      <c r="J169" s="83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3"/>
      <c r="C173" s="824"/>
      <c r="D173" s="824"/>
      <c r="E173" s="824"/>
      <c r="F173" s="824"/>
      <c r="G173" s="824"/>
      <c r="H173" s="824"/>
      <c r="I173" s="824"/>
      <c r="J173" s="82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29"/>
      <c r="C174" s="830"/>
      <c r="D174" s="830"/>
      <c r="E174" s="830"/>
      <c r="F174" s="830"/>
      <c r="G174" s="830"/>
      <c r="H174" s="830"/>
      <c r="I174" s="830"/>
      <c r="J174" s="83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3"/>
      <c r="C177" s="824"/>
      <c r="D177" s="824"/>
      <c r="E177" s="824"/>
      <c r="F177" s="824"/>
      <c r="G177" s="824"/>
      <c r="H177" s="824"/>
      <c r="I177" s="824"/>
      <c r="J177" s="825"/>
      <c r="K177" s="57" t="s">
        <v>317</v>
      </c>
      <c r="L177" s="58" t="s">
        <v>318</v>
      </c>
      <c r="M177" s="59">
        <v>44576</v>
      </c>
      <c r="N177" s="59" t="s">
        <v>259</v>
      </c>
      <c r="O177" s="60" t="s">
        <v>319</v>
      </c>
      <c r="P177" s="60" t="s">
        <v>222</v>
      </c>
      <c r="Q177" s="61">
        <v>0</v>
      </c>
      <c r="R177" s="62"/>
      <c r="S177" s="63"/>
      <c r="T177" s="64" t="s">
        <v>163</v>
      </c>
    </row>
    <row r="178" spans="2:20" ht="180" outlineLevel="1" x14ac:dyDescent="0.2">
      <c r="B178" s="826"/>
      <c r="C178" s="827"/>
      <c r="D178" s="827"/>
      <c r="E178" s="827"/>
      <c r="F178" s="827"/>
      <c r="G178" s="827"/>
      <c r="H178" s="827"/>
      <c r="I178" s="827"/>
      <c r="J178" s="82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3"/>
      <c r="C181" s="824"/>
      <c r="D181" s="824"/>
      <c r="E181" s="824"/>
      <c r="F181" s="824"/>
      <c r="G181" s="824"/>
      <c r="H181" s="824"/>
      <c r="I181" s="824"/>
      <c r="J181" s="82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3"/>
      <c r="C185" s="824"/>
      <c r="D185" s="824"/>
      <c r="E185" s="824"/>
      <c r="F185" s="824"/>
      <c r="G185" s="824"/>
      <c r="H185" s="824"/>
      <c r="I185" s="824"/>
      <c r="J185" s="82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34"/>
      <c r="C187" s="835"/>
      <c r="D187" s="835"/>
      <c r="E187" s="835"/>
      <c r="F187" s="835"/>
      <c r="G187" s="835"/>
      <c r="H187" s="835"/>
      <c r="I187" s="835"/>
      <c r="J187" s="83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3"/>
      <c r="C194" s="824"/>
      <c r="D194" s="824"/>
      <c r="E194" s="824"/>
      <c r="F194" s="824"/>
      <c r="G194" s="824"/>
      <c r="H194" s="824"/>
      <c r="I194" s="824"/>
      <c r="J194" s="82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34"/>
      <c r="C198" s="835"/>
      <c r="D198" s="835"/>
      <c r="E198" s="835"/>
      <c r="F198" s="835"/>
      <c r="G198" s="835"/>
      <c r="H198" s="835"/>
      <c r="I198" s="835"/>
      <c r="J198" s="83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34"/>
      <c r="C207" s="835"/>
      <c r="D207" s="835"/>
      <c r="E207" s="835"/>
      <c r="F207" s="835"/>
      <c r="G207" s="835"/>
      <c r="H207" s="835"/>
      <c r="I207" s="835"/>
      <c r="J207" s="83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34"/>
      <c r="C213" s="835"/>
      <c r="D213" s="835"/>
      <c r="E213" s="835"/>
      <c r="F213" s="835"/>
      <c r="G213" s="835"/>
      <c r="H213" s="835"/>
      <c r="I213" s="835"/>
      <c r="J213" s="83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3"/>
      <c r="C218" s="824"/>
      <c r="D218" s="824"/>
      <c r="E218" s="824"/>
      <c r="F218" s="824"/>
      <c r="G218" s="824"/>
      <c r="H218" s="824"/>
      <c r="I218" s="824"/>
      <c r="J218" s="82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29"/>
      <c r="C219" s="830"/>
      <c r="D219" s="830"/>
      <c r="E219" s="830"/>
      <c r="F219" s="830"/>
      <c r="G219" s="830"/>
      <c r="H219" s="830"/>
      <c r="I219" s="830"/>
      <c r="J219" s="83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29"/>
      <c r="C220" s="830"/>
      <c r="D220" s="830"/>
      <c r="E220" s="830"/>
      <c r="F220" s="830"/>
      <c r="G220" s="830"/>
      <c r="H220" s="830"/>
      <c r="I220" s="830"/>
      <c r="J220" s="83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29"/>
      <c r="C221" s="830"/>
      <c r="D221" s="830"/>
      <c r="E221" s="830"/>
      <c r="F221" s="830"/>
      <c r="G221" s="830"/>
      <c r="H221" s="830"/>
      <c r="I221" s="830"/>
      <c r="J221" s="83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29"/>
      <c r="C222" s="830"/>
      <c r="D222" s="830"/>
      <c r="E222" s="830"/>
      <c r="F222" s="830"/>
      <c r="G222" s="830"/>
      <c r="H222" s="830"/>
      <c r="I222" s="830"/>
      <c r="J222" s="83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29"/>
      <c r="C223" s="830"/>
      <c r="D223" s="830"/>
      <c r="E223" s="830"/>
      <c r="F223" s="830"/>
      <c r="G223" s="830"/>
      <c r="H223" s="830"/>
      <c r="I223" s="830"/>
      <c r="J223" s="83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29"/>
      <c r="C224" s="830"/>
      <c r="D224" s="830"/>
      <c r="E224" s="830"/>
      <c r="F224" s="830"/>
      <c r="G224" s="830"/>
      <c r="H224" s="830"/>
      <c r="I224" s="830"/>
      <c r="J224" s="83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29"/>
      <c r="C225" s="830"/>
      <c r="D225" s="830"/>
      <c r="E225" s="830"/>
      <c r="F225" s="830"/>
      <c r="G225" s="830"/>
      <c r="H225" s="830"/>
      <c r="I225" s="830"/>
      <c r="J225" s="83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29"/>
      <c r="C226" s="830"/>
      <c r="D226" s="830"/>
      <c r="E226" s="830"/>
      <c r="F226" s="830"/>
      <c r="G226" s="830"/>
      <c r="H226" s="830"/>
      <c r="I226" s="830"/>
      <c r="J226" s="83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29"/>
      <c r="C227" s="830"/>
      <c r="D227" s="830"/>
      <c r="E227" s="830"/>
      <c r="F227" s="830"/>
      <c r="G227" s="830"/>
      <c r="H227" s="830"/>
      <c r="I227" s="830"/>
      <c r="J227" s="83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29"/>
      <c r="C228" s="830"/>
      <c r="D228" s="830"/>
      <c r="E228" s="830"/>
      <c r="F228" s="830"/>
      <c r="G228" s="830"/>
      <c r="H228" s="830"/>
      <c r="I228" s="830"/>
      <c r="J228" s="83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29"/>
      <c r="C229" s="830"/>
      <c r="D229" s="830"/>
      <c r="E229" s="830"/>
      <c r="F229" s="830"/>
      <c r="G229" s="830"/>
      <c r="H229" s="830"/>
      <c r="I229" s="830"/>
      <c r="J229" s="83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29"/>
      <c r="C230" s="830"/>
      <c r="D230" s="830"/>
      <c r="E230" s="830"/>
      <c r="F230" s="830"/>
      <c r="G230" s="830"/>
      <c r="H230" s="830"/>
      <c r="I230" s="830"/>
      <c r="J230" s="83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29"/>
      <c r="C231" s="830"/>
      <c r="D231" s="830"/>
      <c r="E231" s="830"/>
      <c r="F231" s="830"/>
      <c r="G231" s="830"/>
      <c r="H231" s="830"/>
      <c r="I231" s="830"/>
      <c r="J231" s="830"/>
      <c r="K231" s="57">
        <v>72154100</v>
      </c>
      <c r="L231" s="58" t="s">
        <v>247</v>
      </c>
      <c r="M231" s="59">
        <v>44757</v>
      </c>
      <c r="N231" s="59" t="s">
        <v>485</v>
      </c>
      <c r="O231" s="59" t="s">
        <v>217</v>
      </c>
      <c r="P231" s="60" t="s">
        <v>333</v>
      </c>
      <c r="Q231" s="61">
        <v>115983360</v>
      </c>
      <c r="R231" s="62"/>
      <c r="S231" s="61"/>
      <c r="T231" s="64"/>
    </row>
    <row r="232" spans="2:20" ht="45" outlineLevel="1" x14ac:dyDescent="0.2">
      <c r="B232" s="829"/>
      <c r="C232" s="830"/>
      <c r="D232" s="830"/>
      <c r="E232" s="830"/>
      <c r="F232" s="830"/>
      <c r="G232" s="830"/>
      <c r="H232" s="830"/>
      <c r="I232" s="830"/>
      <c r="J232" s="83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29"/>
      <c r="C234" s="830"/>
      <c r="D234" s="830"/>
      <c r="E234" s="830"/>
      <c r="F234" s="830"/>
      <c r="G234" s="830"/>
      <c r="H234" s="830"/>
      <c r="I234" s="830"/>
      <c r="J234" s="83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29"/>
      <c r="C235" s="830"/>
      <c r="D235" s="830"/>
      <c r="E235" s="830"/>
      <c r="F235" s="830"/>
      <c r="G235" s="830"/>
      <c r="H235" s="830"/>
      <c r="I235" s="830"/>
      <c r="J235" s="83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3"/>
      <c r="C237" s="824"/>
      <c r="D237" s="824"/>
      <c r="E237" s="824"/>
      <c r="F237" s="824"/>
      <c r="G237" s="824"/>
      <c r="H237" s="824"/>
      <c r="I237" s="824"/>
      <c r="J237" s="82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29"/>
      <c r="C238" s="830"/>
      <c r="D238" s="830"/>
      <c r="E238" s="830"/>
      <c r="F238" s="830"/>
      <c r="G238" s="830"/>
      <c r="H238" s="830"/>
      <c r="I238" s="830"/>
      <c r="J238" s="83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29"/>
      <c r="C239" s="830"/>
      <c r="D239" s="830"/>
      <c r="E239" s="830"/>
      <c r="F239" s="830"/>
      <c r="G239" s="830"/>
      <c r="H239" s="830"/>
      <c r="I239" s="830"/>
      <c r="J239" s="83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3"/>
      <c r="C253" s="824"/>
      <c r="D253" s="824"/>
      <c r="E253" s="824"/>
      <c r="F253" s="824"/>
      <c r="G253" s="824"/>
      <c r="H253" s="824"/>
      <c r="I253" s="824"/>
      <c r="J253" s="82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3"/>
      <c r="C258" s="824"/>
      <c r="D258" s="824"/>
      <c r="E258" s="824"/>
      <c r="F258" s="824"/>
      <c r="G258" s="824"/>
      <c r="H258" s="824"/>
      <c r="I258" s="824"/>
      <c r="J258" s="82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3"/>
      <c r="C262" s="824"/>
      <c r="D262" s="824"/>
      <c r="E262" s="824"/>
      <c r="F262" s="824"/>
      <c r="G262" s="824"/>
      <c r="H262" s="824"/>
      <c r="I262" s="824"/>
      <c r="J262" s="82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29"/>
      <c r="C269" s="830"/>
      <c r="D269" s="830"/>
      <c r="E269" s="830"/>
      <c r="F269" s="830"/>
      <c r="G269" s="830"/>
      <c r="H269" s="830"/>
      <c r="I269" s="830"/>
      <c r="J269" s="83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1"/>
      <c r="C274" s="832"/>
      <c r="D274" s="832"/>
      <c r="E274" s="832"/>
      <c r="F274" s="832"/>
      <c r="G274" s="832"/>
      <c r="H274" s="832"/>
      <c r="I274" s="832"/>
      <c r="J274" s="83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1"/>
      <c r="C276" s="832"/>
      <c r="D276" s="832"/>
      <c r="E276" s="832"/>
      <c r="F276" s="832"/>
      <c r="G276" s="832"/>
      <c r="H276" s="832"/>
      <c r="I276" s="832"/>
      <c r="J276" s="83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3"/>
      <c r="C281" s="824"/>
      <c r="D281" s="824"/>
      <c r="E281" s="824"/>
      <c r="F281" s="824"/>
      <c r="G281" s="824"/>
      <c r="H281" s="824"/>
      <c r="I281" s="824"/>
      <c r="J281" s="82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3"/>
      <c r="C283" s="824"/>
      <c r="D283" s="824"/>
      <c r="E283" s="824"/>
      <c r="F283" s="824"/>
      <c r="G283" s="824"/>
      <c r="H283" s="824"/>
      <c r="I283" s="824"/>
      <c r="J283" s="82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3"/>
      <c r="C285" s="824"/>
      <c r="D285" s="824"/>
      <c r="E285" s="824"/>
      <c r="F285" s="824"/>
      <c r="G285" s="824"/>
      <c r="H285" s="824"/>
      <c r="I285" s="824"/>
      <c r="J285" s="82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29"/>
      <c r="C296" s="830"/>
      <c r="D296" s="830"/>
      <c r="E296" s="830"/>
      <c r="F296" s="830"/>
      <c r="G296" s="830"/>
      <c r="H296" s="830"/>
      <c r="I296" s="830"/>
      <c r="J296" s="83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29"/>
      <c r="C297" s="830"/>
      <c r="D297" s="830"/>
      <c r="E297" s="830"/>
      <c r="F297" s="830"/>
      <c r="G297" s="830"/>
      <c r="H297" s="830"/>
      <c r="I297" s="830"/>
      <c r="J297" s="83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29"/>
      <c r="C298" s="830"/>
      <c r="D298" s="830"/>
      <c r="E298" s="830"/>
      <c r="F298" s="830"/>
      <c r="G298" s="830"/>
      <c r="H298" s="830"/>
      <c r="I298" s="830"/>
      <c r="J298" s="83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29"/>
      <c r="C299" s="830"/>
      <c r="D299" s="830"/>
      <c r="E299" s="830"/>
      <c r="F299" s="830"/>
      <c r="G299" s="830"/>
      <c r="H299" s="830"/>
      <c r="I299" s="830"/>
      <c r="J299" s="83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29"/>
      <c r="C300" s="830"/>
      <c r="D300" s="830"/>
      <c r="E300" s="830"/>
      <c r="F300" s="830"/>
      <c r="G300" s="830"/>
      <c r="H300" s="830"/>
      <c r="I300" s="830"/>
      <c r="J300" s="83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29"/>
      <c r="C301" s="830"/>
      <c r="D301" s="830"/>
      <c r="E301" s="830"/>
      <c r="F301" s="830"/>
      <c r="G301" s="830"/>
      <c r="H301" s="830"/>
      <c r="I301" s="830"/>
      <c r="J301" s="83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29"/>
      <c r="C302" s="830"/>
      <c r="D302" s="830"/>
      <c r="E302" s="830"/>
      <c r="F302" s="830"/>
      <c r="G302" s="830"/>
      <c r="H302" s="830"/>
      <c r="I302" s="830"/>
      <c r="J302" s="83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29"/>
      <c r="C303" s="830"/>
      <c r="D303" s="830"/>
      <c r="E303" s="830"/>
      <c r="F303" s="830"/>
      <c r="G303" s="830"/>
      <c r="H303" s="830"/>
      <c r="I303" s="830"/>
      <c r="J303" s="83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29"/>
      <c r="C304" s="830"/>
      <c r="D304" s="830"/>
      <c r="E304" s="830"/>
      <c r="F304" s="830"/>
      <c r="G304" s="830"/>
      <c r="H304" s="830"/>
      <c r="I304" s="830"/>
      <c r="J304" s="83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29"/>
      <c r="C305" s="830"/>
      <c r="D305" s="830"/>
      <c r="E305" s="830"/>
      <c r="F305" s="830"/>
      <c r="G305" s="830"/>
      <c r="H305" s="830"/>
      <c r="I305" s="830"/>
      <c r="J305" s="83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29"/>
      <c r="C306" s="830"/>
      <c r="D306" s="830"/>
      <c r="E306" s="830"/>
      <c r="F306" s="830"/>
      <c r="G306" s="830"/>
      <c r="H306" s="830"/>
      <c r="I306" s="830"/>
      <c r="J306" s="83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29"/>
      <c r="C307" s="830"/>
      <c r="D307" s="830"/>
      <c r="E307" s="830"/>
      <c r="F307" s="830"/>
      <c r="G307" s="830"/>
      <c r="H307" s="830"/>
      <c r="I307" s="830"/>
      <c r="J307" s="83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29"/>
      <c r="C308" s="830"/>
      <c r="D308" s="830"/>
      <c r="E308" s="830"/>
      <c r="F308" s="830"/>
      <c r="G308" s="830"/>
      <c r="H308" s="830"/>
      <c r="I308" s="830"/>
      <c r="J308" s="83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29"/>
      <c r="C309" s="830"/>
      <c r="D309" s="830"/>
      <c r="E309" s="830"/>
      <c r="F309" s="830"/>
      <c r="G309" s="830"/>
      <c r="H309" s="830"/>
      <c r="I309" s="830"/>
      <c r="J309" s="830"/>
      <c r="K309" s="57">
        <v>81101500</v>
      </c>
      <c r="L309" s="58" t="s">
        <v>514</v>
      </c>
      <c r="M309" s="59"/>
      <c r="N309" s="59"/>
      <c r="O309" s="60" t="s">
        <v>515</v>
      </c>
      <c r="P309" s="60" t="s">
        <v>516</v>
      </c>
      <c r="Q309" s="61">
        <v>49087500</v>
      </c>
      <c r="R309" s="62"/>
      <c r="S309" s="72"/>
      <c r="T309" s="58"/>
    </row>
    <row r="310" spans="2:20" ht="30" outlineLevel="1" x14ac:dyDescent="0.2">
      <c r="B310" s="829"/>
      <c r="C310" s="830"/>
      <c r="D310" s="830"/>
      <c r="E310" s="830"/>
      <c r="F310" s="830"/>
      <c r="G310" s="830"/>
      <c r="H310" s="830"/>
      <c r="I310" s="830"/>
      <c r="J310" s="83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29"/>
      <c r="C311" s="830"/>
      <c r="D311" s="830"/>
      <c r="E311" s="830"/>
      <c r="F311" s="830"/>
      <c r="G311" s="830"/>
      <c r="H311" s="830"/>
      <c r="I311" s="830"/>
      <c r="J311" s="83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29"/>
      <c r="C312" s="830"/>
      <c r="D312" s="830"/>
      <c r="E312" s="830"/>
      <c r="F312" s="830"/>
      <c r="G312" s="830"/>
      <c r="H312" s="830"/>
      <c r="I312" s="830"/>
      <c r="J312" s="83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4"/>
      <c r="C318" s="824"/>
      <c r="D318" s="824"/>
      <c r="E318" s="824"/>
      <c r="F318" s="824"/>
      <c r="G318" s="824"/>
      <c r="H318" s="824"/>
      <c r="I318" s="824"/>
      <c r="J318" s="82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30"/>
      <c r="C319" s="830"/>
      <c r="D319" s="830"/>
      <c r="E319" s="830"/>
      <c r="F319" s="830"/>
      <c r="G319" s="830"/>
      <c r="H319" s="830"/>
      <c r="I319" s="830"/>
      <c r="J319" s="83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30"/>
      <c r="C320" s="830"/>
      <c r="D320" s="830"/>
      <c r="E320" s="830"/>
      <c r="F320" s="830"/>
      <c r="G320" s="830"/>
      <c r="H320" s="830"/>
      <c r="I320" s="830"/>
      <c r="J320" s="83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30"/>
      <c r="C321" s="830"/>
      <c r="D321" s="830"/>
      <c r="E321" s="830"/>
      <c r="F321" s="830"/>
      <c r="G321" s="830"/>
      <c r="H321" s="830"/>
      <c r="I321" s="830"/>
      <c r="J321" s="83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30"/>
      <c r="C322" s="830"/>
      <c r="D322" s="830"/>
      <c r="E322" s="830"/>
      <c r="F322" s="830"/>
      <c r="G322" s="830"/>
      <c r="H322" s="830"/>
      <c r="I322" s="830"/>
      <c r="J322" s="83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30"/>
      <c r="C323" s="830"/>
      <c r="D323" s="830"/>
      <c r="E323" s="830"/>
      <c r="F323" s="830"/>
      <c r="G323" s="830"/>
      <c r="H323" s="830"/>
      <c r="I323" s="830"/>
      <c r="J323" s="83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30"/>
      <c r="C324" s="830"/>
      <c r="D324" s="830"/>
      <c r="E324" s="830"/>
      <c r="F324" s="830"/>
      <c r="G324" s="830"/>
      <c r="H324" s="830"/>
      <c r="I324" s="830"/>
      <c r="J324" s="83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30"/>
      <c r="C325" s="830"/>
      <c r="D325" s="830"/>
      <c r="E325" s="830"/>
      <c r="F325" s="830"/>
      <c r="G325" s="830"/>
      <c r="H325" s="830"/>
      <c r="I325" s="830"/>
      <c r="J325" s="83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30"/>
      <c r="C326" s="830"/>
      <c r="D326" s="830"/>
      <c r="E326" s="830"/>
      <c r="F326" s="830"/>
      <c r="G326" s="830"/>
      <c r="H326" s="830"/>
      <c r="I326" s="830"/>
      <c r="J326" s="83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30"/>
      <c r="C327" s="830"/>
      <c r="D327" s="830"/>
      <c r="E327" s="830"/>
      <c r="F327" s="830"/>
      <c r="G327" s="830"/>
      <c r="H327" s="830"/>
      <c r="I327" s="830"/>
      <c r="J327" s="83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30"/>
      <c r="C328" s="830"/>
      <c r="D328" s="830"/>
      <c r="E328" s="830"/>
      <c r="F328" s="830"/>
      <c r="G328" s="830"/>
      <c r="H328" s="830"/>
      <c r="I328" s="830"/>
      <c r="J328" s="83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30"/>
      <c r="C329" s="830"/>
      <c r="D329" s="830"/>
      <c r="E329" s="830"/>
      <c r="F329" s="830"/>
      <c r="G329" s="830"/>
      <c r="H329" s="830"/>
      <c r="I329" s="830"/>
      <c r="J329" s="83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30"/>
      <c r="C330" s="830"/>
      <c r="D330" s="830"/>
      <c r="E330" s="830"/>
      <c r="F330" s="830"/>
      <c r="G330" s="830"/>
      <c r="H330" s="830"/>
      <c r="I330" s="830"/>
      <c r="J330" s="83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30"/>
      <c r="C331" s="830"/>
      <c r="D331" s="830"/>
      <c r="E331" s="830"/>
      <c r="F331" s="830"/>
      <c r="G331" s="830"/>
      <c r="H331" s="830"/>
      <c r="I331" s="830"/>
      <c r="J331" s="83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30"/>
      <c r="C332" s="830"/>
      <c r="D332" s="830"/>
      <c r="E332" s="830"/>
      <c r="F332" s="830"/>
      <c r="G332" s="830"/>
      <c r="H332" s="830"/>
      <c r="I332" s="830"/>
      <c r="J332" s="83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30"/>
      <c r="C333" s="830"/>
      <c r="D333" s="830"/>
      <c r="E333" s="830"/>
      <c r="F333" s="830"/>
      <c r="G333" s="830"/>
      <c r="H333" s="830"/>
      <c r="I333" s="830"/>
      <c r="J333" s="83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710" workbookViewId="0">
      <selection activeCell="A50727" sqref="A50727"/>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2023-10-09T16:48:19Z</dcterms:modified>
</cp:coreProperties>
</file>